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kluaneecuador-my.sharepoint.com/personal/maribel_guachamin_kluane-ecuador_ec/Documents/PROCEDIMIENTOS, PROCESOS, GUIAS DE TRABAJO COORD. CONTABLE/FORMATOS CONTROL PROCESOS CONTABLES/"/>
    </mc:Choice>
  </mc:AlternateContent>
  <xr:revisionPtr revIDLastSave="126" documentId="13_ncr:1_{C8B8A4C3-307C-4D9B-8CC6-0BE676456C65}" xr6:coauthVersionLast="47" xr6:coauthVersionMax="47" xr10:uidLastSave="{718F68CF-4BB6-43B9-AEF4-512305A81641}"/>
  <bookViews>
    <workbookView xWindow="-108" yWindow="-108" windowWidth="23256" windowHeight="12456" firstSheet="4" activeTab="4" xr2:uid="{00000000-000D-0000-FFFF-FFFF00000000}"/>
  </bookViews>
  <sheets>
    <sheet name="EDC17020" sheetId="1" state="hidden" r:id="rId1"/>
    <sheet name="EDC17021" sheetId="4" state="hidden" r:id="rId2"/>
    <sheet name="Hoja2" sheetId="11" state="hidden" r:id="rId3"/>
    <sheet name="Advalorem" sheetId="9" state="hidden" r:id="rId4"/>
    <sheet name="Liquidación" sheetId="12" r:id="rId5"/>
  </sheets>
  <definedNames>
    <definedName name="_xlnm._FilterDatabase" localSheetId="3" hidden="1">Advalorem!$B$2:$G$190</definedName>
    <definedName name="_xlnm._FilterDatabase" localSheetId="4" hidden="1">Liquidación!$A$33:$AB$37</definedName>
  </definedNames>
  <calcPr calcId="191028"/>
  <pivotCaches>
    <pivotCache cacheId="311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12" l="1"/>
  <c r="F30" i="12"/>
  <c r="N15" i="12"/>
  <c r="Q20" i="12"/>
  <c r="O45" i="12" l="1"/>
  <c r="H38" i="12"/>
  <c r="H37" i="12"/>
  <c r="H36" i="12"/>
  <c r="H35" i="12"/>
  <c r="H34" i="12"/>
  <c r="I31" i="12"/>
  <c r="P39" i="12"/>
  <c r="N27" i="12"/>
  <c r="N22" i="12"/>
  <c r="H22" i="12"/>
  <c r="M22" i="12" s="1"/>
  <c r="N20" i="12"/>
  <c r="M20" i="12"/>
  <c r="E17" i="12"/>
  <c r="H39" i="12" l="1"/>
  <c r="I35" i="12"/>
  <c r="I36" i="12"/>
  <c r="I37" i="12"/>
  <c r="I34" i="12"/>
  <c r="H40" i="12"/>
  <c r="I38" i="12" l="1"/>
  <c r="R34" i="12"/>
  <c r="J34" i="12"/>
  <c r="K34" i="12"/>
  <c r="L34" i="12"/>
  <c r="I39" i="12"/>
  <c r="L37" i="12"/>
  <c r="J37" i="12"/>
  <c r="J36" i="12"/>
  <c r="L36" i="12"/>
  <c r="J35" i="12"/>
  <c r="L35" i="12"/>
  <c r="L38" i="12"/>
  <c r="J38" i="12"/>
  <c r="E15" i="12"/>
  <c r="D15" i="12"/>
  <c r="S47" i="12"/>
  <c r="L30" i="12"/>
  <c r="N30" i="12" s="1"/>
  <c r="E18" i="12"/>
  <c r="G11" i="12"/>
  <c r="S45" i="12"/>
  <c r="N21" i="12"/>
  <c r="H21" i="12"/>
  <c r="M21" i="12" s="1"/>
  <c r="N25" i="12"/>
  <c r="M25" i="12"/>
  <c r="N24" i="12"/>
  <c r="H24" i="12"/>
  <c r="M24" i="12" s="1"/>
  <c r="N26" i="12"/>
  <c r="H26" i="12"/>
  <c r="M26" i="12" s="1"/>
  <c r="N19" i="12"/>
  <c r="Q45" i="12"/>
  <c r="Q44" i="12"/>
  <c r="K31" i="12"/>
  <c r="N29" i="12"/>
  <c r="H29" i="12"/>
  <c r="M29" i="12" s="1"/>
  <c r="N28" i="12"/>
  <c r="M28" i="12"/>
  <c r="H27" i="12"/>
  <c r="M27" i="12" s="1"/>
  <c r="N23" i="12"/>
  <c r="H23" i="12"/>
  <c r="M23" i="12" s="1"/>
  <c r="H19" i="12"/>
  <c r="M19" i="12" s="1"/>
  <c r="C15" i="12"/>
  <c r="L7" i="1"/>
  <c r="O83" i="4"/>
  <c r="D82" i="4"/>
  <c r="K86" i="4"/>
  <c r="I86" i="4"/>
  <c r="G86" i="4"/>
  <c r="E82" i="4"/>
  <c r="F18" i="4"/>
  <c r="F14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7" i="4"/>
  <c r="F16" i="4"/>
  <c r="F15" i="4"/>
  <c r="F13" i="4"/>
  <c r="F12" i="4"/>
  <c r="F11" i="4"/>
  <c r="F10" i="4"/>
  <c r="F9" i="4"/>
  <c r="F8" i="4"/>
  <c r="F7" i="4"/>
  <c r="Q17" i="1"/>
  <c r="C22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K7" i="1"/>
  <c r="J15" i="1"/>
  <c r="J14" i="1"/>
  <c r="J13" i="1"/>
  <c r="J12" i="1"/>
  <c r="J11" i="1"/>
  <c r="J10" i="1"/>
  <c r="J9" i="1"/>
  <c r="J8" i="1"/>
  <c r="J7" i="1"/>
  <c r="D9" i="1"/>
  <c r="C23" i="1"/>
  <c r="D18" i="1"/>
  <c r="G87" i="4"/>
  <c r="J16" i="1"/>
  <c r="M16" i="1"/>
  <c r="M13" i="1"/>
  <c r="M9" i="1"/>
  <c r="N9" i="1"/>
  <c r="M10" i="1"/>
  <c r="N10" i="1"/>
  <c r="M11" i="1"/>
  <c r="N11" i="1"/>
  <c r="M7" i="1"/>
  <c r="N7" i="1"/>
  <c r="M12" i="1"/>
  <c r="N12" i="1"/>
  <c r="M14" i="1"/>
  <c r="M8" i="1"/>
  <c r="M15" i="1"/>
  <c r="N13" i="1"/>
  <c r="F82" i="4"/>
  <c r="K87" i="4"/>
  <c r="I87" i="4"/>
  <c r="N14" i="1"/>
  <c r="N8" i="1"/>
  <c r="N15" i="1"/>
  <c r="P7" i="1"/>
  <c r="N16" i="1"/>
  <c r="Q7" i="1"/>
  <c r="P12" i="1"/>
  <c r="Q12" i="1"/>
  <c r="R12" i="1"/>
  <c r="Q13" i="1"/>
  <c r="P13" i="1"/>
  <c r="R13" i="1" s="1"/>
  <c r="G32" i="4"/>
  <c r="G68" i="4"/>
  <c r="G76" i="4"/>
  <c r="G18" i="4"/>
  <c r="G65" i="4"/>
  <c r="G47" i="4"/>
  <c r="G61" i="4"/>
  <c r="G80" i="4"/>
  <c r="G22" i="4"/>
  <c r="G37" i="4"/>
  <c r="G40" i="4"/>
  <c r="G62" i="4"/>
  <c r="G30" i="4"/>
  <c r="G21" i="4"/>
  <c r="G43" i="4"/>
  <c r="G56" i="4"/>
  <c r="G59" i="4"/>
  <c r="G71" i="4"/>
  <c r="G69" i="4"/>
  <c r="G52" i="4"/>
  <c r="H86" i="4"/>
  <c r="H87" i="4"/>
  <c r="G24" i="4"/>
  <c r="G72" i="4"/>
  <c r="G64" i="4"/>
  <c r="G36" i="4"/>
  <c r="G63" i="4"/>
  <c r="G55" i="4"/>
  <c r="G74" i="4"/>
  <c r="G42" i="4"/>
  <c r="G20" i="4"/>
  <c r="G27" i="4"/>
  <c r="G73" i="4"/>
  <c r="G53" i="4"/>
  <c r="G57" i="4"/>
  <c r="G13" i="4"/>
  <c r="G17" i="4"/>
  <c r="G46" i="4"/>
  <c r="G28" i="4"/>
  <c r="G26" i="4"/>
  <c r="G23" i="4"/>
  <c r="G7" i="4"/>
  <c r="G31" i="4"/>
  <c r="G49" i="4"/>
  <c r="G70" i="4"/>
  <c r="G34" i="4"/>
  <c r="G14" i="4"/>
  <c r="G33" i="4"/>
  <c r="G78" i="4"/>
  <c r="J86" i="4"/>
  <c r="J87" i="4"/>
  <c r="G15" i="4"/>
  <c r="G25" i="4"/>
  <c r="G8" i="4"/>
  <c r="G41" i="4"/>
  <c r="G29" i="4"/>
  <c r="G48" i="4"/>
  <c r="G16" i="4"/>
  <c r="G12" i="4"/>
  <c r="G39" i="4"/>
  <c r="G10" i="4"/>
  <c r="G38" i="4"/>
  <c r="G9" i="4"/>
  <c r="G81" i="4"/>
  <c r="G35" i="4"/>
  <c r="G11" i="4"/>
  <c r="G54" i="4"/>
  <c r="G19" i="4"/>
  <c r="G60" i="4"/>
  <c r="G79" i="4"/>
  <c r="G58" i="4"/>
  <c r="G44" i="4"/>
  <c r="G66" i="4"/>
  <c r="G75" i="4"/>
  <c r="L86" i="4"/>
  <c r="L87" i="4"/>
  <c r="G50" i="4"/>
  <c r="G45" i="4"/>
  <c r="G67" i="4"/>
  <c r="G77" i="4"/>
  <c r="G51" i="4"/>
  <c r="P10" i="1"/>
  <c r="Q10" i="1"/>
  <c r="R10" i="1"/>
  <c r="P9" i="1"/>
  <c r="Q9" i="1"/>
  <c r="R9" i="1"/>
  <c r="P15" i="1"/>
  <c r="Q15" i="1"/>
  <c r="R15" i="1" s="1"/>
  <c r="P8" i="1"/>
  <c r="Q8" i="1"/>
  <c r="R8" i="1" s="1"/>
  <c r="Q11" i="1"/>
  <c r="P11" i="1"/>
  <c r="R11" i="1"/>
  <c r="Q14" i="1"/>
  <c r="P14" i="1"/>
  <c r="H77" i="4"/>
  <c r="I77" i="4"/>
  <c r="H42" i="4"/>
  <c r="I42" i="4"/>
  <c r="H79" i="4"/>
  <c r="I79" i="4"/>
  <c r="J79" i="4"/>
  <c r="H70" i="4"/>
  <c r="I70" i="4"/>
  <c r="J70" i="4"/>
  <c r="H52" i="4"/>
  <c r="I52" i="4"/>
  <c r="H62" i="4"/>
  <c r="I62" i="4"/>
  <c r="J62" i="4"/>
  <c r="H18" i="4"/>
  <c r="I18" i="4"/>
  <c r="H45" i="4"/>
  <c r="I45" i="4"/>
  <c r="H60" i="4"/>
  <c r="I60" i="4"/>
  <c r="J60" i="4"/>
  <c r="H10" i="4"/>
  <c r="I10" i="4"/>
  <c r="J10" i="4"/>
  <c r="H25" i="4"/>
  <c r="I25" i="4"/>
  <c r="H49" i="4"/>
  <c r="I49" i="4"/>
  <c r="H13" i="4"/>
  <c r="I13" i="4"/>
  <c r="H55" i="4"/>
  <c r="I55" i="4"/>
  <c r="H69" i="4"/>
  <c r="I69" i="4"/>
  <c r="H40" i="4"/>
  <c r="I40" i="4"/>
  <c r="H76" i="4"/>
  <c r="I76" i="4"/>
  <c r="S12" i="1"/>
  <c r="H21" i="4"/>
  <c r="I21" i="4"/>
  <c r="J21" i="4"/>
  <c r="H46" i="4"/>
  <c r="I46" i="4"/>
  <c r="J46" i="4"/>
  <c r="H39" i="4"/>
  <c r="I39" i="4"/>
  <c r="J39" i="4"/>
  <c r="H57" i="4"/>
  <c r="I57" i="4"/>
  <c r="J57" i="4"/>
  <c r="H63" i="4"/>
  <c r="I63" i="4"/>
  <c r="J63" i="4"/>
  <c r="H71" i="4"/>
  <c r="I71" i="4"/>
  <c r="H37" i="4"/>
  <c r="I37" i="4"/>
  <c r="H68" i="4"/>
  <c r="I68" i="4"/>
  <c r="Q16" i="1"/>
  <c r="H29" i="4"/>
  <c r="I29" i="4"/>
  <c r="H28" i="4"/>
  <c r="I28" i="4"/>
  <c r="H24" i="4"/>
  <c r="I24" i="4"/>
  <c r="J24" i="4"/>
  <c r="H47" i="4"/>
  <c r="I47" i="4"/>
  <c r="J47" i="4"/>
  <c r="S15" i="1"/>
  <c r="H58" i="4"/>
  <c r="I58" i="4"/>
  <c r="J58" i="4"/>
  <c r="H41" i="4"/>
  <c r="I41" i="4"/>
  <c r="J41" i="4"/>
  <c r="H34" i="4"/>
  <c r="I34" i="4"/>
  <c r="J34" i="4"/>
  <c r="H30" i="4"/>
  <c r="I30" i="4"/>
  <c r="J30" i="4"/>
  <c r="H65" i="4"/>
  <c r="I65" i="4"/>
  <c r="J65" i="4"/>
  <c r="H67" i="4"/>
  <c r="I67" i="4"/>
  <c r="J67" i="4"/>
  <c r="H8" i="4"/>
  <c r="I8" i="4"/>
  <c r="J8" i="4"/>
  <c r="H17" i="4"/>
  <c r="I17" i="4"/>
  <c r="J17" i="4"/>
  <c r="S9" i="1"/>
  <c r="H19" i="4"/>
  <c r="I19" i="4"/>
  <c r="J19" i="4"/>
  <c r="H15" i="4"/>
  <c r="I15" i="4"/>
  <c r="J15" i="4"/>
  <c r="R14" i="1"/>
  <c r="S14" i="1"/>
  <c r="H53" i="4"/>
  <c r="I53" i="4"/>
  <c r="H59" i="4"/>
  <c r="I59" i="4"/>
  <c r="H75" i="4"/>
  <c r="I75" i="4"/>
  <c r="J75" i="4"/>
  <c r="H11" i="4"/>
  <c r="I11" i="4"/>
  <c r="H16" i="4"/>
  <c r="I16" i="4"/>
  <c r="J16" i="4"/>
  <c r="H78" i="4"/>
  <c r="I78" i="4"/>
  <c r="J78" i="4"/>
  <c r="H23" i="4"/>
  <c r="I23" i="4"/>
  <c r="H73" i="4"/>
  <c r="I73" i="4"/>
  <c r="J73" i="4"/>
  <c r="H64" i="4"/>
  <c r="I64" i="4"/>
  <c r="J64" i="4"/>
  <c r="H56" i="4"/>
  <c r="I56" i="4"/>
  <c r="H80" i="4"/>
  <c r="I80" i="4"/>
  <c r="J80" i="4"/>
  <c r="S13" i="1"/>
  <c r="P16" i="1"/>
  <c r="P17" i="1"/>
  <c r="S8" i="1"/>
  <c r="H51" i="4"/>
  <c r="I51" i="4"/>
  <c r="J51" i="4"/>
  <c r="H44" i="4"/>
  <c r="I44" i="4"/>
  <c r="H81" i="4"/>
  <c r="I81" i="4"/>
  <c r="J81" i="4"/>
  <c r="H14" i="4"/>
  <c r="I14" i="4"/>
  <c r="J14" i="4"/>
  <c r="H20" i="4"/>
  <c r="I20" i="4"/>
  <c r="J20" i="4"/>
  <c r="H9" i="4"/>
  <c r="I9" i="4"/>
  <c r="H38" i="4"/>
  <c r="I38" i="4"/>
  <c r="J38" i="4"/>
  <c r="H74" i="4"/>
  <c r="I74" i="4"/>
  <c r="J74" i="4"/>
  <c r="S11" i="1"/>
  <c r="H50" i="4"/>
  <c r="I50" i="4"/>
  <c r="H31" i="4"/>
  <c r="I31" i="4"/>
  <c r="J31" i="4"/>
  <c r="H54" i="4"/>
  <c r="I54" i="4"/>
  <c r="J54" i="4"/>
  <c r="H12" i="4"/>
  <c r="I12" i="4"/>
  <c r="H7" i="4"/>
  <c r="I7" i="4"/>
  <c r="H36" i="4"/>
  <c r="I36" i="4"/>
  <c r="H22" i="4"/>
  <c r="I22" i="4"/>
  <c r="J22" i="4"/>
  <c r="H32" i="4"/>
  <c r="I32" i="4"/>
  <c r="S10" i="1"/>
  <c r="H66" i="4"/>
  <c r="I66" i="4"/>
  <c r="J66" i="4"/>
  <c r="H35" i="4"/>
  <c r="I35" i="4"/>
  <c r="J35" i="4"/>
  <c r="H48" i="4"/>
  <c r="I48" i="4"/>
  <c r="J48" i="4"/>
  <c r="H33" i="4"/>
  <c r="I33" i="4"/>
  <c r="J33" i="4"/>
  <c r="H26" i="4"/>
  <c r="I26" i="4"/>
  <c r="J26" i="4"/>
  <c r="H27" i="4"/>
  <c r="I27" i="4"/>
  <c r="H72" i="4"/>
  <c r="I72" i="4"/>
  <c r="H43" i="4"/>
  <c r="I43" i="4"/>
  <c r="J43" i="4"/>
  <c r="H61" i="4"/>
  <c r="I61" i="4"/>
  <c r="J61" i="4"/>
  <c r="R7" i="1"/>
  <c r="S7" i="1"/>
  <c r="S16" i="1"/>
  <c r="S17" i="1"/>
  <c r="M78" i="4"/>
  <c r="L78" i="4"/>
  <c r="L54" i="4"/>
  <c r="M54" i="4"/>
  <c r="M48" i="4"/>
  <c r="L48" i="4"/>
  <c r="N48" i="4"/>
  <c r="M14" i="4"/>
  <c r="L14" i="4"/>
  <c r="N14" i="4" s="1"/>
  <c r="M30" i="4"/>
  <c r="L30" i="4"/>
  <c r="N30" i="4"/>
  <c r="M21" i="4"/>
  <c r="L21" i="4"/>
  <c r="N21" i="4" s="1"/>
  <c r="J72" i="4"/>
  <c r="M22" i="4"/>
  <c r="L22" i="4"/>
  <c r="N22" i="4" s="1"/>
  <c r="J56" i="4"/>
  <c r="L47" i="4"/>
  <c r="M47" i="4"/>
  <c r="N47" i="4" s="1"/>
  <c r="M10" i="4"/>
  <c r="L10" i="4"/>
  <c r="L64" i="4"/>
  <c r="M64" i="4"/>
  <c r="N64" i="4"/>
  <c r="L8" i="4"/>
  <c r="M8" i="4"/>
  <c r="L57" i="4"/>
  <c r="M57" i="4"/>
  <c r="N57" i="4"/>
  <c r="J68" i="4"/>
  <c r="L60" i="4"/>
  <c r="M60" i="4"/>
  <c r="N60" i="4" s="1"/>
  <c r="L61" i="4"/>
  <c r="M61" i="4"/>
  <c r="N61" i="4"/>
  <c r="L66" i="4"/>
  <c r="M66" i="4"/>
  <c r="N66" i="4"/>
  <c r="J36" i="4"/>
  <c r="M73" i="4"/>
  <c r="L73" i="4"/>
  <c r="N73" i="4" s="1"/>
  <c r="L19" i="4"/>
  <c r="M19" i="4"/>
  <c r="L67" i="4"/>
  <c r="M67" i="4"/>
  <c r="N67" i="4" s="1"/>
  <c r="L41" i="4"/>
  <c r="M41" i="4"/>
  <c r="N41" i="4"/>
  <c r="M39" i="4"/>
  <c r="L39" i="4"/>
  <c r="N39" i="4"/>
  <c r="J76" i="4"/>
  <c r="J13" i="4"/>
  <c r="L79" i="4"/>
  <c r="M79" i="4"/>
  <c r="N79" i="4" s="1"/>
  <c r="J52" i="4"/>
  <c r="M35" i="4"/>
  <c r="L35" i="4"/>
  <c r="L81" i="4"/>
  <c r="M81" i="4"/>
  <c r="N81" i="4" s="1"/>
  <c r="L16" i="4"/>
  <c r="M16" i="4"/>
  <c r="N16" i="4"/>
  <c r="L15" i="4"/>
  <c r="M15" i="4"/>
  <c r="L34" i="4"/>
  <c r="M34" i="4"/>
  <c r="N34" i="4"/>
  <c r="J55" i="4"/>
  <c r="M70" i="4"/>
  <c r="L70" i="4"/>
  <c r="R16" i="1"/>
  <c r="R17" i="1"/>
  <c r="J27" i="4"/>
  <c r="L31" i="4"/>
  <c r="M31" i="4"/>
  <c r="M24" i="4"/>
  <c r="L24" i="4"/>
  <c r="N24" i="4" s="1"/>
  <c r="M26" i="4"/>
  <c r="L26" i="4"/>
  <c r="N26" i="4"/>
  <c r="J7" i="4"/>
  <c r="J50" i="4"/>
  <c r="J44" i="4"/>
  <c r="J11" i="4"/>
  <c r="J59" i="4"/>
  <c r="J28" i="4"/>
  <c r="J37" i="4"/>
  <c r="J40" i="4"/>
  <c r="J49" i="4"/>
  <c r="J18" i="4"/>
  <c r="J42" i="4"/>
  <c r="M38" i="4"/>
  <c r="L38" i="4"/>
  <c r="N38" i="4"/>
  <c r="L17" i="4"/>
  <c r="M17" i="4"/>
  <c r="L63" i="4"/>
  <c r="M63" i="4"/>
  <c r="N63" i="4" s="1"/>
  <c r="M43" i="4"/>
  <c r="L43" i="4"/>
  <c r="N43" i="4" s="1"/>
  <c r="L33" i="4"/>
  <c r="M33" i="4"/>
  <c r="N33" i="4" s="1"/>
  <c r="L74" i="4"/>
  <c r="M74" i="4"/>
  <c r="N74" i="4"/>
  <c r="M20" i="4"/>
  <c r="L20" i="4"/>
  <c r="M51" i="4"/>
  <c r="L51" i="4"/>
  <c r="N51" i="4"/>
  <c r="L80" i="4"/>
  <c r="M80" i="4"/>
  <c r="N80" i="4"/>
  <c r="M75" i="4"/>
  <c r="L75" i="4"/>
  <c r="N75" i="4"/>
  <c r="M65" i="4"/>
  <c r="L65" i="4"/>
  <c r="N65" i="4"/>
  <c r="L58" i="4"/>
  <c r="M58" i="4"/>
  <c r="N58" i="4" s="1"/>
  <c r="L46" i="4"/>
  <c r="M46" i="4"/>
  <c r="N46" i="4" s="1"/>
  <c r="M62" i="4"/>
  <c r="L62" i="4"/>
  <c r="J12" i="4"/>
  <c r="J23" i="4"/>
  <c r="J53" i="4"/>
  <c r="J71" i="4"/>
  <c r="J25" i="4"/>
  <c r="J77" i="4"/>
  <c r="M76" i="4"/>
  <c r="L76" i="4"/>
  <c r="N76" i="4"/>
  <c r="M36" i="4"/>
  <c r="L36" i="4"/>
  <c r="N36" i="4"/>
  <c r="L71" i="4"/>
  <c r="M71" i="4"/>
  <c r="L40" i="4"/>
  <c r="M40" i="4"/>
  <c r="N40" i="4"/>
  <c r="O67" i="4"/>
  <c r="L53" i="4"/>
  <c r="M53" i="4"/>
  <c r="O26" i="4"/>
  <c r="O65" i="4"/>
  <c r="N19" i="4"/>
  <c r="O19" i="4"/>
  <c r="O30" i="4"/>
  <c r="L25" i="4"/>
  <c r="M25" i="4"/>
  <c r="N25" i="4" s="1"/>
  <c r="M7" i="4"/>
  <c r="L7" i="4"/>
  <c r="N7" i="4"/>
  <c r="N35" i="4"/>
  <c r="O35" i="4" s="1"/>
  <c r="O60" i="4"/>
  <c r="O47" i="4"/>
  <c r="N54" i="4"/>
  <c r="O54" i="4" s="1"/>
  <c r="O80" i="4"/>
  <c r="L68" i="4"/>
  <c r="M68" i="4"/>
  <c r="L28" i="4"/>
  <c r="M28" i="4"/>
  <c r="N28" i="4"/>
  <c r="L52" i="4"/>
  <c r="M52" i="4"/>
  <c r="O51" i="4"/>
  <c r="M59" i="4"/>
  <c r="L59" i="4"/>
  <c r="N59" i="4"/>
  <c r="N31" i="4"/>
  <c r="O31" i="4" s="1"/>
  <c r="L12" i="4"/>
  <c r="M12" i="4"/>
  <c r="M11" i="4"/>
  <c r="L11" i="4"/>
  <c r="O24" i="4"/>
  <c r="L27" i="4"/>
  <c r="M27" i="4"/>
  <c r="N27" i="4"/>
  <c r="O34" i="4"/>
  <c r="O41" i="4"/>
  <c r="O73" i="4"/>
  <c r="O57" i="4"/>
  <c r="O64" i="4"/>
  <c r="N10" i="4"/>
  <c r="O10" i="4"/>
  <c r="O21" i="4"/>
  <c r="O48" i="4"/>
  <c r="M72" i="4"/>
  <c r="L72" i="4"/>
  <c r="L55" i="4"/>
  <c r="M55" i="4"/>
  <c r="N55" i="4"/>
  <c r="O74" i="4"/>
  <c r="O81" i="4"/>
  <c r="O79" i="4"/>
  <c r="O61" i="4"/>
  <c r="O22" i="4"/>
  <c r="O38" i="4"/>
  <c r="L49" i="4"/>
  <c r="M49" i="4"/>
  <c r="O58" i="4"/>
  <c r="O39" i="4"/>
  <c r="L37" i="4"/>
  <c r="M37" i="4"/>
  <c r="N37" i="4"/>
  <c r="M56" i="4"/>
  <c r="L56" i="4"/>
  <c r="N56" i="4"/>
  <c r="L23" i="4"/>
  <c r="M23" i="4"/>
  <c r="N23" i="4" s="1"/>
  <c r="O63" i="4"/>
  <c r="O16" i="4"/>
  <c r="O66" i="4"/>
  <c r="O46" i="4"/>
  <c r="O75" i="4"/>
  <c r="O33" i="4"/>
  <c r="M42" i="4"/>
  <c r="L42" i="4"/>
  <c r="L44" i="4"/>
  <c r="M44" i="4"/>
  <c r="N44" i="4" s="1"/>
  <c r="M77" i="4"/>
  <c r="L77" i="4"/>
  <c r="N62" i="4"/>
  <c r="O62" i="4" s="1"/>
  <c r="N20" i="4"/>
  <c r="O20" i="4"/>
  <c r="O43" i="4"/>
  <c r="N17" i="4"/>
  <c r="O17" i="4"/>
  <c r="L18" i="4"/>
  <c r="M18" i="4"/>
  <c r="N18" i="4"/>
  <c r="L50" i="4"/>
  <c r="M50" i="4"/>
  <c r="N50" i="4"/>
  <c r="N70" i="4"/>
  <c r="O70" i="4"/>
  <c r="M13" i="4"/>
  <c r="L13" i="4"/>
  <c r="N8" i="4"/>
  <c r="O8" i="4" s="1"/>
  <c r="O14" i="4"/>
  <c r="N78" i="4"/>
  <c r="O78" i="4"/>
  <c r="O56" i="4"/>
  <c r="O27" i="4"/>
  <c r="O44" i="4"/>
  <c r="N77" i="4"/>
  <c r="O77" i="4" s="1"/>
  <c r="N49" i="4"/>
  <c r="O49" i="4"/>
  <c r="N72" i="4"/>
  <c r="O72" i="4"/>
  <c r="O59" i="4"/>
  <c r="O7" i="4"/>
  <c r="O40" i="4"/>
  <c r="O25" i="4"/>
  <c r="O76" i="4"/>
  <c r="N12" i="4"/>
  <c r="O12" i="4" s="1"/>
  <c r="O55" i="4"/>
  <c r="O36" i="4"/>
  <c r="N42" i="4"/>
  <c r="O42" i="4"/>
  <c r="O28" i="4"/>
  <c r="O50" i="4"/>
  <c r="N13" i="4"/>
  <c r="O13" i="4" s="1"/>
  <c r="O37" i="4"/>
  <c r="N11" i="4"/>
  <c r="O11" i="4"/>
  <c r="N53" i="4"/>
  <c r="O53" i="4"/>
  <c r="O18" i="4"/>
  <c r="O23" i="4"/>
  <c r="N68" i="4"/>
  <c r="O68" i="4"/>
  <c r="N71" i="4"/>
  <c r="O71" i="4"/>
  <c r="Y53" i="12"/>
  <c r="N52" i="4" l="1"/>
  <c r="O52" i="4" s="1"/>
  <c r="N15" i="4"/>
  <c r="O15" i="4" s="1"/>
  <c r="J32" i="4"/>
  <c r="J9" i="4"/>
  <c r="J29" i="4"/>
  <c r="J69" i="4"/>
  <c r="J45" i="4"/>
  <c r="C24" i="1"/>
  <c r="C26" i="1" s="1"/>
  <c r="D10" i="1"/>
  <c r="X34" i="12"/>
  <c r="O19" i="12"/>
  <c r="J16" i="12"/>
  <c r="M30" i="12"/>
  <c r="L45" i="4" l="1"/>
  <c r="M45" i="4"/>
  <c r="N45" i="4"/>
  <c r="M69" i="4"/>
  <c r="L69" i="4"/>
  <c r="N69" i="4"/>
  <c r="M29" i="4"/>
  <c r="L29" i="4"/>
  <c r="N29" i="4"/>
  <c r="M9" i="4"/>
  <c r="L9" i="4"/>
  <c r="J82" i="4"/>
  <c r="N9" i="4"/>
  <c r="M32" i="4"/>
  <c r="L32" i="4"/>
  <c r="N32" i="4"/>
  <c r="N16" i="12"/>
  <c r="N31" i="12" s="1"/>
  <c r="V41" i="12" s="1"/>
  <c r="J31" i="12"/>
  <c r="T37" i="12"/>
  <c r="T36" i="12"/>
  <c r="T35" i="12"/>
  <c r="R37" i="12"/>
  <c r="R36" i="12"/>
  <c r="K36" i="12"/>
  <c r="X36" i="12" s="1"/>
  <c r="R35" i="12"/>
  <c r="K37" i="12"/>
  <c r="X37" i="12" s="1"/>
  <c r="U36" i="12"/>
  <c r="U37" i="12"/>
  <c r="U34" i="12"/>
  <c r="O32" i="4" l="1"/>
  <c r="N82" i="4"/>
  <c r="O9" i="4"/>
  <c r="L82" i="4"/>
  <c r="M82" i="4"/>
  <c r="O29" i="4"/>
  <c r="O69" i="4"/>
  <c r="O45" i="4"/>
  <c r="H16" i="12"/>
  <c r="M16" i="12" s="1"/>
  <c r="M31" i="12" s="1"/>
  <c r="F31" i="12"/>
  <c r="T34" i="12"/>
  <c r="K35" i="12"/>
  <c r="X35" i="12" s="1"/>
  <c r="U35" i="12"/>
  <c r="T38" i="12"/>
  <c r="R38" i="12"/>
  <c r="U38" i="12"/>
  <c r="K38" i="12"/>
  <c r="X38" i="12" s="1"/>
  <c r="O82" i="4" l="1"/>
  <c r="P83" i="4" s="1"/>
  <c r="H31" i="12"/>
  <c r="T39" i="12"/>
  <c r="R39" i="12"/>
  <c r="X39" i="12" l="1"/>
  <c r="X40" i="12" s="1"/>
  <c r="M38" i="12" l="1"/>
  <c r="O38" i="12" s="1"/>
  <c r="Q38" i="12"/>
  <c r="M35" i="12"/>
  <c r="O35" i="12" s="1"/>
  <c r="M36" i="12"/>
  <c r="Q36" i="12" s="1"/>
  <c r="M37" i="12"/>
  <c r="O37" i="12" s="1"/>
  <c r="M34" i="12"/>
  <c r="O34" i="12" s="1"/>
  <c r="Q35" i="12" l="1"/>
  <c r="V35" i="12"/>
  <c r="W35" i="12" s="1"/>
  <c r="V38" i="12"/>
  <c r="W38" i="12" s="1"/>
  <c r="Q34" i="12"/>
  <c r="S35" i="12"/>
  <c r="Q37" i="12"/>
  <c r="V37" i="12" s="1"/>
  <c r="W37" i="12" s="1"/>
  <c r="S38" i="12"/>
  <c r="M39" i="12"/>
  <c r="O36" i="12"/>
  <c r="Q39" i="12" l="1"/>
  <c r="Q42" i="12" s="1"/>
  <c r="V34" i="12"/>
  <c r="W34" i="12" s="1"/>
  <c r="V36" i="12"/>
  <c r="S34" i="12"/>
  <c r="S37" i="12"/>
  <c r="O39" i="12"/>
  <c r="S36" i="12"/>
  <c r="V39" i="12" l="1"/>
  <c r="V44" i="12" s="1"/>
  <c r="W36" i="12"/>
  <c r="W39" i="12" s="1"/>
  <c r="S39" i="12"/>
  <c r="S42" i="12" s="1"/>
  <c r="O44" i="12"/>
  <c r="O42" i="12"/>
  <c r="S44" i="12" l="1"/>
  <c r="V4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kluane</author>
  </authors>
  <commentList>
    <comment ref="K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kluane:</t>
        </r>
        <r>
          <rPr>
            <sz val="9"/>
            <color indexed="81"/>
            <rFont val="Tahoma"/>
            <family val="2"/>
          </rPr>
          <t xml:space="preserve">
Flete generado por Proveedor y convertido a Dólar Americano.</t>
        </r>
      </text>
    </comment>
    <comment ref="L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kluane:</t>
        </r>
        <r>
          <rPr>
            <sz val="9"/>
            <color indexed="81"/>
            <rFont val="Tahoma"/>
            <family val="2"/>
          </rPr>
          <t xml:space="preserve">
Seguro Internacional</t>
        </r>
      </text>
    </comment>
    <comment ref="M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kluane:</t>
        </r>
        <r>
          <rPr>
            <sz val="9"/>
            <color indexed="81"/>
            <rFont val="Tahoma"/>
            <family val="2"/>
          </rPr>
          <t xml:space="preserve">
Seguro Local 1% (FOB+FLETE) Factura proveedor.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kluane</author>
  </authors>
  <commentList>
    <comment ref="G8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kluane:</t>
        </r>
        <r>
          <rPr>
            <sz val="9"/>
            <color indexed="81"/>
            <rFont val="Tahoma"/>
            <family val="2"/>
          </rPr>
          <t xml:space="preserve">
Flete generado por Proveedor y convertido a Dólar Americano.</t>
        </r>
      </text>
    </comment>
    <comment ref="H8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kluane:</t>
        </r>
        <r>
          <rPr>
            <sz val="9"/>
            <color indexed="81"/>
            <rFont val="Tahoma"/>
            <family val="2"/>
          </rPr>
          <t xml:space="preserve">
Seguro Internacional</t>
        </r>
      </text>
    </comment>
    <comment ref="I8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kluane:</t>
        </r>
        <r>
          <rPr>
            <sz val="9"/>
            <color indexed="81"/>
            <rFont val="Tahoma"/>
            <family val="2"/>
          </rPr>
          <t xml:space="preserve">
Seguro Local 1% (FOB+FLETE) Factura proveedor.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User</author>
    <author>hpenvyfcl@outlook.es</author>
  </authors>
  <commentList>
    <comment ref="C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fct de importación
</t>
        </r>
      </text>
    </comment>
    <comment ref="H9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pone la Fecha de la liquidación Senae.</t>
        </r>
      </text>
    </comment>
    <comment ref="M9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pone la fecha del ingreso de bodega</t>
        </r>
      </text>
    </comment>
    <comment ref="F1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antes de seguro y flete</t>
        </r>
      </text>
    </comment>
    <comment ref="L15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valores indicados en fct de importación</t>
        </r>
      </text>
    </comment>
    <comment ref="I16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advalorem</t>
        </r>
      </text>
    </comment>
    <comment ref="F1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SOLO POR CALCULO DE IMPUESTOS MAS NO PARA AFECTAR AL COSTO
VALOR DE LA DUANA - V/FACTURA</t>
        </r>
      </text>
    </comment>
    <comment ref="F18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dai seguros</t>
        </r>
      </text>
    </comment>
    <comment ref="N33" authorId="2" shapeId="0" xr:uid="{00000000-0006-0000-0600-000009000000}">
      <text>
        <r>
          <rPr>
            <b/>
            <sz val="9"/>
            <color indexed="81"/>
            <rFont val="Tahoma"/>
            <family val="2"/>
          </rPr>
          <t>hpenvyfcl@outlook.es:</t>
        </r>
        <r>
          <rPr>
            <sz val="9"/>
            <color indexed="81"/>
            <rFont val="Tahoma"/>
            <family val="2"/>
          </rPr>
          <t xml:space="preserve">
valor del advalorem / Valor aduana 
</t>
        </r>
      </text>
    </comment>
    <comment ref="X33" authorId="1" shapeId="0" xr:uid="{00000000-0006-0000-06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J39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solo valor fct</t>
        </r>
      </text>
    </comment>
    <comment ref="K3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solo valor fct
</t>
        </r>
      </text>
    </comment>
    <comment ref="M3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total fct</t>
        </r>
      </text>
    </comment>
    <comment ref="R3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senae</t>
        </r>
      </text>
    </comment>
  </commentList>
</comments>
</file>

<file path=xl/sharedStrings.xml><?xml version="1.0" encoding="utf-8"?>
<sst xmlns="http://schemas.openxmlformats.org/spreadsheetml/2006/main" count="799" uniqueCount="561">
  <si>
    <t>IMPORTACIÓN EDC17020 KLUANE CANADÁ</t>
  </si>
  <si>
    <t>Valor factura+flete+seguro</t>
  </si>
  <si>
    <t>Porcentaje Arancel</t>
  </si>
  <si>
    <t>DESGLOSE ARANCELES</t>
  </si>
  <si>
    <t>Valor Factura</t>
  </si>
  <si>
    <t>DESCRIPCION</t>
  </si>
  <si>
    <t>CANTIDAD</t>
  </si>
  <si>
    <t>VALOR UNITARIO</t>
  </si>
  <si>
    <t>VALOR TOTAL FOB</t>
  </si>
  <si>
    <t>FLETE</t>
  </si>
  <si>
    <t>SEGURO INTER</t>
  </si>
  <si>
    <t>1% SEGURO LOCAL</t>
  </si>
  <si>
    <t>VALOR ADUANA</t>
  </si>
  <si>
    <t>% ADVALOREM</t>
  </si>
  <si>
    <t>ADVALOREM</t>
  </si>
  <si>
    <t>FODINFA</t>
  </si>
  <si>
    <t>IVA</t>
  </si>
  <si>
    <t>TOTAL IMPUESTOS</t>
  </si>
  <si>
    <t>Flete</t>
  </si>
  <si>
    <t>RESORTE HTW</t>
  </si>
  <si>
    <t>Seguro (Póliza Internacional)</t>
  </si>
  <si>
    <t>VALVULA PR51</t>
  </si>
  <si>
    <t>PINZAS DEL PESCADOR NTW/HTW</t>
  </si>
  <si>
    <t>SWICH COMPLETO DE ENCENDIDO PARA IRON HORSE</t>
  </si>
  <si>
    <t>POLEA DE ARRANQUE DEL MOTOR</t>
  </si>
  <si>
    <t>ABRAZADERA DE CINCHO DE 2 1/2</t>
  </si>
  <si>
    <t>BUSHING DE PLASTICO BTW/NTW/HTW</t>
  </si>
  <si>
    <t xml:space="preserve">GOMAS AMARILLAS HTW </t>
  </si>
  <si>
    <t>Valor en Aduana+arancel advalorem+fondinfa</t>
  </si>
  <si>
    <t>IVA Liquidación Aduana</t>
  </si>
  <si>
    <t>VALOR EN ADUANA:</t>
  </si>
  <si>
    <t>FOB+FLETES (Internacional/Nacional)+SEGURO</t>
  </si>
  <si>
    <t>Aplicación Seguros Oriente 0.30%</t>
  </si>
  <si>
    <r>
      <t xml:space="preserve">Este valor lo justifica la aerolínea con carta emitida por ellos o a su vez el embarcador. </t>
    </r>
    <r>
      <rPr>
        <b/>
        <sz val="11"/>
        <color indexed="8"/>
        <rFont val="Calibri"/>
        <family val="2"/>
      </rPr>
      <t>PICK UP</t>
    </r>
  </si>
  <si>
    <t>El Advalorem en este caso se calcula sobre la base imponible de cada ítem(FOB+FLETE+SEGURO INTERNACIONAL+SEGURO LOCAL), es decir el CIF, usted está tomando en cuenta solo el FOB.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</si>
  <si>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2"/>
        <color indexed="8"/>
        <rFont val="Times New Roman"/>
        <family val="1"/>
      </rPr>
      <t>El fodinfa es 0.5% del Valor en Aduana, de todos los items.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</si>
  <si>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2"/>
        <color indexed="8"/>
        <rFont val="Times New Roman"/>
        <family val="1"/>
      </rPr>
      <t>El IVA se toma en cuenta (Valor en aduana + Advalorem + Fodinfa) por el 12% de todos los ítems.</t>
    </r>
  </si>
  <si>
    <t>Tomar en cuenta que puede variar por la tasa arancelaria que es en base al peso y que el sistema no calcula hasta el envío final.</t>
  </si>
  <si>
    <t>IMPORTACIÓN EDC17021 KLUANE CANADA</t>
  </si>
  <si>
    <t>SEGUROS ORIENTE</t>
  </si>
  <si>
    <t>ACOPLE CANDADO</t>
  </si>
  <si>
    <t>ACOPLE ADAPTADOR</t>
  </si>
  <si>
    <t>CUCHILLA NTW</t>
  </si>
  <si>
    <t>CUCHILLA HTW</t>
  </si>
  <si>
    <t>CILINDRO  DEL FOOTCLAMP</t>
  </si>
  <si>
    <t>LAINAS DE CALIBRACION PARA CABEZA DE ROTACION KD1000</t>
  </si>
  <si>
    <t>LAINAS DE CALIBRACION PARA CABEZA DE ROTACION KD600</t>
  </si>
  <si>
    <t>ADAPTADOR DE MOTOR CASING</t>
  </si>
  <si>
    <t>CILINDROS DE AVANCE PRINCIPAL</t>
  </si>
  <si>
    <t>SET DE MUELAS PARA TRAMPA MANUAL</t>
  </si>
  <si>
    <t>RODILLO ESTABILIZADOR DEL WINCHE</t>
  </si>
  <si>
    <t>RODAMIENTO PARA LA CABEZA DE ROTACION KD600</t>
  </si>
  <si>
    <t>RODAMIENTO PARA LA CABEZA DE ROTACION KD1000</t>
  </si>
  <si>
    <t>TUBOS HTW 5 FT AZUL</t>
  </si>
  <si>
    <t>CAJA DE ALUMINIO</t>
  </si>
  <si>
    <t>FILTRO HIDRAULICO  AUXILIAR P179089</t>
  </si>
  <si>
    <t>FILTRO HIDRAULICO PRINCIPAL 1263005</t>
  </si>
  <si>
    <t>VALVULA DE PRESION DE ACEITE</t>
  </si>
  <si>
    <t>VALVULA DE PRESION PARA ROTACION</t>
  </si>
  <si>
    <t>RETEN DEL CIGÜEÑAL DE LA BOMBA DE AGUA 1024-1029</t>
  </si>
  <si>
    <t>RETEN DEL PISTON DE LA BOMBA DE AGUA 1024-1029</t>
  </si>
  <si>
    <t>BOMBA DE AGUA ADMIRAL CA1029</t>
  </si>
  <si>
    <t>KIT DE VALVULAS DE LA BOMBA DE AGUA 1029</t>
  </si>
  <si>
    <t>PIÑON DE LA BANDA BOMBA AGUA 1029</t>
  </si>
  <si>
    <t>KIT DE BRONCE DE LA BOMBA DE AGUA 1029</t>
  </si>
  <si>
    <t>MOTOR CASING</t>
  </si>
  <si>
    <t>BOMBA HIDRAULICA 19CC</t>
  </si>
  <si>
    <t>NEPLO RECTO #12 JIC MACHO A  #16 ORING BOCHS MACHO</t>
  </si>
  <si>
    <t>NEPLO RECTO #6 JIC MACHO A  #16 ORING BOCHS MACHO</t>
  </si>
  <si>
    <t xml:space="preserve">CODO 90° #06  JIC MACHO X #06 ORB </t>
  </si>
  <si>
    <t xml:space="preserve">CODO 45° #12 MACHO JIC X 3/4" MACHO NPT </t>
  </si>
  <si>
    <t>NEPLO #12 MACHO JIC X 3/4" MACHO NPT STRAIGHT</t>
  </si>
  <si>
    <t xml:space="preserve">CODO 90° #12 MACHO JIC X 1/2" MACHO NPT </t>
  </si>
  <si>
    <t>NEPLO 3/4" MACHO NPT X 3/4" MACHO NPT STRAIGHT</t>
  </si>
  <si>
    <t>NEPLO #12 MACHO JIC X #12 MACHO JIC STRAIGHT</t>
  </si>
  <si>
    <t>NEPLO #08 MACHO JIC X #10 MACHO ORB STRAIGHT</t>
  </si>
  <si>
    <t xml:space="preserve">CODO 90 #08 MACHO  JIC X #08 MACHO ORB </t>
  </si>
  <si>
    <t>CODO 90 #06 MACHO JIC X #04 MACHO ORB 90</t>
  </si>
  <si>
    <t xml:space="preserve">CODO 45 #06 MACHO JIC X #04 MACHO ORB </t>
  </si>
  <si>
    <t>NEPLO #08 MACHO JIC X 1/2" MACHO NPT STRAIGHT</t>
  </si>
  <si>
    <t xml:space="preserve">CODO 90 #06 MACHO JIC X 3/4" MACHO NPT </t>
  </si>
  <si>
    <t xml:space="preserve">TEE #06 MACHO JIC X #06 MACHO JIC X #06 MACHO JIC </t>
  </si>
  <si>
    <t>NEPLO #10 MACHO JIC X 3/4" MACHO NPT STRAIGHT</t>
  </si>
  <si>
    <t xml:space="preserve">CODO 90° #10 MACHO JIC X 3/4" MACHO NPT </t>
  </si>
  <si>
    <t>NEPLO #10 MACHO JIC X 1/2" MACHO NPT STRAIGHT</t>
  </si>
  <si>
    <t>NEPLO #20 MACHO JIC X #16 MACHO ORB STRAIGHT</t>
  </si>
  <si>
    <t xml:space="preserve">CODO 45° #10 MACHO JIC X #12 MACHO ORB </t>
  </si>
  <si>
    <t>NEPLO #06 MACHO JIC X 3/8" MACHO NPT STRAIGHT</t>
  </si>
  <si>
    <t xml:space="preserve">CODO 90°#06 MACHO JIC X 3/8" MACHO NPT </t>
  </si>
  <si>
    <t xml:space="preserve">CODO 90° #06 MACHO JIC X #06 MALE ORB </t>
  </si>
  <si>
    <t>NEPLO #08 MACHO JIC X #08 MACHO JIC BULKHEAD STRAIGHT</t>
  </si>
  <si>
    <t>NEPLO #08 HEMBRA JIC X #06 MACHO JIC STRAIGHT RIGID</t>
  </si>
  <si>
    <t xml:space="preserve">TEE 3/8" MACHO NPT X 3/8" MACHO NPT X 3/8" MACHO NPT </t>
  </si>
  <si>
    <t xml:space="preserve">TEE 1/2" MACHO NPT X 1/2" MACHO NPT X 1/2" MACHO NPT </t>
  </si>
  <si>
    <t xml:space="preserve">TEE 3/4" MACHO NPT X 3/4" MACHO NPT X 3/4" MACHO NPT </t>
  </si>
  <si>
    <t xml:space="preserve">TEE #06 MACHO JIC X #06 MACHO ORB X #06 MACHO JIC </t>
  </si>
  <si>
    <t>MANGUERA DE COMBUSTIBLE 3/16</t>
  </si>
  <si>
    <t>MANGUERA DE COMBUSTIBLE 3/8</t>
  </si>
  <si>
    <t>MANGUERA DE AGUA 1"</t>
  </si>
  <si>
    <t>REAMING SHELL HTW</t>
  </si>
  <si>
    <t>REAMING SHELL NTW</t>
  </si>
  <si>
    <t>Tubo Interior NTW 10FT</t>
  </si>
  <si>
    <t>Tubo Interior HTW 10FT</t>
  </si>
  <si>
    <t>Tubo Interior HTW 5FT</t>
  </si>
  <si>
    <t>ESTABILIZADOR DE BRONCE NTW</t>
  </si>
  <si>
    <t>RESORTE DE RETENCION DE FLUIDOS VERDE</t>
  </si>
  <si>
    <t>ABRAZADERAS DE CABLE DE WINCHE 3/16</t>
  </si>
  <si>
    <t>GOMAS AMARILLAS  HTW</t>
  </si>
  <si>
    <t>JABON LUBRICANTE</t>
  </si>
  <si>
    <t>CORTADOR DE TUBO HWT</t>
  </si>
  <si>
    <t>PIÑON DE LA BANDA BOMBA AGUA 1024</t>
  </si>
  <si>
    <t>CONTENEDOR</t>
  </si>
  <si>
    <t>SEGURO LOCAL</t>
  </si>
  <si>
    <t>KLUANE DRILLING LTD</t>
  </si>
  <si>
    <t>AEREO</t>
  </si>
  <si>
    <t>CANADA</t>
  </si>
  <si>
    <t>2018-01</t>
  </si>
  <si>
    <t>DEMORAJE</t>
  </si>
  <si>
    <t>KLUANE COLOMBIA SAS</t>
  </si>
  <si>
    <t xml:space="preserve">TERRESTRE </t>
  </si>
  <si>
    <t>COLOMBIA</t>
  </si>
  <si>
    <t>2018-02</t>
  </si>
  <si>
    <t>ESTIBAJE</t>
  </si>
  <si>
    <t>DIMATEC INC</t>
  </si>
  <si>
    <t>MARITIMO</t>
  </si>
  <si>
    <t>CHILE</t>
  </si>
  <si>
    <t>2018-03</t>
  </si>
  <si>
    <t>HANDLING</t>
  </si>
  <si>
    <t>GRUPO FORDIA</t>
  </si>
  <si>
    <t>PERU</t>
  </si>
  <si>
    <t>2018-04</t>
  </si>
  <si>
    <t>CERTIFCACION</t>
  </si>
  <si>
    <t>COMERCIAL HUANACU</t>
  </si>
  <si>
    <t>EEUU</t>
  </si>
  <si>
    <t>2018-05</t>
  </si>
  <si>
    <t>COLLECT</t>
  </si>
  <si>
    <t>JC PORTALES</t>
  </si>
  <si>
    <t>ESTOCOLMO</t>
  </si>
  <si>
    <t>2018-06</t>
  </si>
  <si>
    <t>LENNARTSFORS AB</t>
  </si>
  <si>
    <t>SUECIA</t>
  </si>
  <si>
    <t>2018-07</t>
  </si>
  <si>
    <t>DICORP</t>
  </si>
  <si>
    <t>2018-08</t>
  </si>
  <si>
    <t>DAYMONT</t>
  </si>
  <si>
    <t>2018-09</t>
  </si>
  <si>
    <t xml:space="preserve">ATLAS COPCO </t>
  </si>
  <si>
    <t>2018-10</t>
  </si>
  <si>
    <t>BOYLES BROS</t>
  </si>
  <si>
    <t>2018-11</t>
  </si>
  <si>
    <t>2018-12</t>
  </si>
  <si>
    <t>ITEMS</t>
  </si>
  <si>
    <t>PARTIDA</t>
  </si>
  <si>
    <t>RESTRICCION</t>
  </si>
  <si>
    <t>FOB</t>
  </si>
  <si>
    <t>ABRAZADERA PARA MANGUERA DE AGUA</t>
  </si>
  <si>
    <t>NO TIENE</t>
  </si>
  <si>
    <t>210,00</t>
  </si>
  <si>
    <t>140,00</t>
  </si>
  <si>
    <t>MANGUERA PLANA AMARILLA DE AGUA</t>
  </si>
  <si>
    <t>10590,50</t>
  </si>
  <si>
    <t>MANGUERA HIDRAULICA</t>
  </si>
  <si>
    <t>1356,86</t>
  </si>
  <si>
    <t>637,03</t>
  </si>
  <si>
    <t>724,69</t>
  </si>
  <si>
    <t>1326,66</t>
  </si>
  <si>
    <t>CONEXION PARA MANGUERA HIDRAULICA</t>
  </si>
  <si>
    <t>918,00</t>
  </si>
  <si>
    <t>836,00</t>
  </si>
  <si>
    <t>726,00</t>
  </si>
  <si>
    <t>1430,00</t>
  </si>
  <si>
    <t>3053,00</t>
  </si>
  <si>
    <t>ACOPLE RAPIDO MACHO</t>
  </si>
  <si>
    <t>103,00</t>
  </si>
  <si>
    <t>102,40</t>
  </si>
  <si>
    <t>ACOPLE RAPIDO HEMBRA</t>
  </si>
  <si>
    <t>90,84</t>
  </si>
  <si>
    <t>TAPON HEMBRA</t>
  </si>
  <si>
    <t>43,50</t>
  </si>
  <si>
    <t>125,00</t>
  </si>
  <si>
    <t>72,00</t>
  </si>
  <si>
    <t>38,00</t>
  </si>
  <si>
    <t>48,00</t>
  </si>
  <si>
    <t>TAPON MACHO</t>
  </si>
  <si>
    <t>50,00</t>
  </si>
  <si>
    <t>71,60</t>
  </si>
  <si>
    <t>40,00</t>
  </si>
  <si>
    <t>52,00</t>
  </si>
  <si>
    <t>VALVULA DE ALIVIO PARA BOMBA DE AGUA 1029</t>
  </si>
  <si>
    <t>INEN FOB + DE $2000</t>
  </si>
  <si>
    <t>1372,50</t>
  </si>
  <si>
    <t>CABEZA DE ALUMINIO PARA BOMBA DE AGUA 1029</t>
  </si>
  <si>
    <t>3542,00</t>
  </si>
  <si>
    <t>TAPA DE LA BOMBA DE AGUA 1029</t>
  </si>
  <si>
    <t>2435,00</t>
  </si>
  <si>
    <t>BOMBA DE AGUA ADMIRAL 1029</t>
  </si>
  <si>
    <t>7305,40</t>
  </si>
  <si>
    <t>KIT DE VALVULA CHECK PARA BOMBA DE AGUA</t>
  </si>
  <si>
    <t>2390,80</t>
  </si>
  <si>
    <t>SET DE EMPAQUES PARA BOMBA DE AGUA 1029</t>
  </si>
  <si>
    <t>10316,00</t>
  </si>
  <si>
    <t>PISTONES DE CERAMICA PARA BOMBA DE AGUA 1029</t>
  </si>
  <si>
    <t>3985,00</t>
  </si>
  <si>
    <t>PERNO PARA BOMBA DE AGUA 1029</t>
  </si>
  <si>
    <t>INEN FOB+ $ 2000.00</t>
  </si>
  <si>
    <t>920,80</t>
  </si>
  <si>
    <t>KIT DE REPARACION PARA VALVULA DE ALIVIO</t>
  </si>
  <si>
    <t>203,70</t>
  </si>
  <si>
    <t>GANCHO DE STILLSON</t>
  </si>
  <si>
    <t>2201,00</t>
  </si>
  <si>
    <t>3269,75</t>
  </si>
  <si>
    <t>MUELA  DE STILLSON</t>
  </si>
  <si>
    <t>385,33</t>
  </si>
  <si>
    <t>TUERCA PARA STILLSON</t>
  </si>
  <si>
    <t>INEN FOB + $ 2000,00</t>
  </si>
  <si>
    <t>90,60</t>
  </si>
  <si>
    <t>140,05</t>
  </si>
  <si>
    <t>LLAVE STILLSON DE ACERO</t>
  </si>
  <si>
    <t>275,28</t>
  </si>
  <si>
    <t>LLAVE STILLSON DE ALUMINIO</t>
  </si>
  <si>
    <t>323,05</t>
  </si>
  <si>
    <t>102,98</t>
  </si>
  <si>
    <t>RESORTE PLANO  PARA LLAVE</t>
  </si>
  <si>
    <t>131,70</t>
  </si>
  <si>
    <t>169,65</t>
  </si>
  <si>
    <t>203,55</t>
  </si>
  <si>
    <t>FILTRO HIDRAULICO PT707 HD10 BALDWIN</t>
  </si>
  <si>
    <t>1287,00</t>
  </si>
  <si>
    <t>FILTRO DE AIRE PARA MOTOR 1505 BALDWIN</t>
  </si>
  <si>
    <t>713,60</t>
  </si>
  <si>
    <t>FILTRO DE AIRE PARA MOTOR 1505 DONALSON</t>
  </si>
  <si>
    <t>1392,31</t>
  </si>
  <si>
    <t>FILTRO DE ACEITE PARA MOTOR 2403 B7152</t>
  </si>
  <si>
    <t>1152,00</t>
  </si>
  <si>
    <t>FILTRO DE AIRE PARA MOTOR 2403</t>
  </si>
  <si>
    <t>1858,50</t>
  </si>
  <si>
    <t>RACOR PORTA FILTRO</t>
  </si>
  <si>
    <t>334,30</t>
  </si>
  <si>
    <t>TUBO EXTERIOR 5FT NTW</t>
  </si>
  <si>
    <t>2485,20</t>
  </si>
  <si>
    <t>TUBO EXTERIOR 10 FT NTW</t>
  </si>
  <si>
    <t>4321,20</t>
  </si>
  <si>
    <t>TUBO INTERIOR 10 FT BTW</t>
  </si>
  <si>
    <t>2444,00</t>
  </si>
  <si>
    <t>ACOPLE CANDADO BTW</t>
  </si>
  <si>
    <t>6228,80</t>
  </si>
  <si>
    <t>ACOPLE ADAPTADOR BTW</t>
  </si>
  <si>
    <t>2917,60</t>
  </si>
  <si>
    <t>4000,86</t>
  </si>
  <si>
    <t>MOTOR HIDRAULICO BOMBA DE AGUA 1029</t>
  </si>
  <si>
    <t>2839,80</t>
  </si>
  <si>
    <t>MOTOR DE ARRANQUE 1505</t>
  </si>
  <si>
    <t>643,80</t>
  </si>
  <si>
    <t>ALTERNADOR MOTOR 1505</t>
  </si>
  <si>
    <t>619,84</t>
  </si>
  <si>
    <t>MOTOR DE ARRANQUE 2403</t>
  </si>
  <si>
    <t>1328,28</t>
  </si>
  <si>
    <t>FILTRO HIDRAULICO NUEVO SISTEMA 1263005</t>
  </si>
  <si>
    <t>1395,60</t>
  </si>
  <si>
    <t>FILTRO HIDRAULICO NUEVO SISTEMA 2071643</t>
  </si>
  <si>
    <t>764,00</t>
  </si>
  <si>
    <t>MANOMETRO HIDRAULICO DE 4000 PSI</t>
  </si>
  <si>
    <t>272,25</t>
  </si>
  <si>
    <t>VALVULA DEL PASO DE ACEITE</t>
  </si>
  <si>
    <t>253,86</t>
  </si>
  <si>
    <t>VALVULA BRAND CONTROL DE FLUJO</t>
  </si>
  <si>
    <t>825,90</t>
  </si>
  <si>
    <t>KIT DE REPARACION PARA VALVULA RP51</t>
  </si>
  <si>
    <t>158,20</t>
  </si>
  <si>
    <t>KIT DE REPARACION PARA VALVULA RP60</t>
  </si>
  <si>
    <t>159,30</t>
  </si>
  <si>
    <t>VALVULA BARKSDALE PIE DE SUJECCION</t>
  </si>
  <si>
    <t>3045,70</t>
  </si>
  <si>
    <t>VALVULA DE ALIVIO PR51  PRINCIPAL</t>
  </si>
  <si>
    <t>2157,60</t>
  </si>
  <si>
    <t>VALVULA DE ROTACION RP60</t>
  </si>
  <si>
    <t>1934,10</t>
  </si>
  <si>
    <t>VALVULA DE SECUENCIA RFSC LAN</t>
  </si>
  <si>
    <t>1043,76</t>
  </si>
  <si>
    <t>VALVULA DE SECUENCIA</t>
  </si>
  <si>
    <t>215,80</t>
  </si>
  <si>
    <t>KIT DE EMPAQUES PARA EL PANEL DE CONTROL</t>
  </si>
  <si>
    <t>415,62</t>
  </si>
  <si>
    <t>MOTOR  PARA MEZCLADOR</t>
  </si>
  <si>
    <t>2091,10</t>
  </si>
  <si>
    <t>VALVULA CHECK</t>
  </si>
  <si>
    <t>313,70</t>
  </si>
  <si>
    <t>227,10</t>
  </si>
  <si>
    <t>BOMBA HIDRAULICA PRINCIPAL KD1000 19CC</t>
  </si>
  <si>
    <t>6385,00</t>
  </si>
  <si>
    <t>ADAPTADOR DE BOMBA HIDRAULICA</t>
  </si>
  <si>
    <t>1731,60</t>
  </si>
  <si>
    <t>BOMBA HIDRAULICA PRINCIPAL KD1000 17CC</t>
  </si>
  <si>
    <t>4876,00</t>
  </si>
  <si>
    <t>BOMBA HIDRAULICAPIGGY BACK</t>
  </si>
  <si>
    <t>4175,40</t>
  </si>
  <si>
    <t>MEDIDOR DE LA BOMBA HIDRAULICA</t>
  </si>
  <si>
    <t>1328,25</t>
  </si>
  <si>
    <t>RETEN DE ACEITE 35X52X7 DEL CIGUENAL DE LA BOMBA 1029</t>
  </si>
  <si>
    <t>150,50</t>
  </si>
  <si>
    <t>RETEN DE ACEITE 40X55X7 DEL PISTON DE CERAMICA DE LA BOMBA 1029</t>
  </si>
  <si>
    <t>180,60</t>
  </si>
  <si>
    <t>ACOPLE  MACHO PARA MANGUERA DE AGUA</t>
  </si>
  <si>
    <t>132,80</t>
  </si>
  <si>
    <t>ACOPLE  HEMBRA PARA MANGUERA DE AGUA</t>
  </si>
  <si>
    <t>53,00</t>
  </si>
  <si>
    <t>PINZAS PARA SEGUROS DEL CABLE DE WINCHE</t>
  </si>
  <si>
    <t>517,92</t>
  </si>
  <si>
    <t>ESTABILIZADOR DE BRONCE  NTW</t>
  </si>
  <si>
    <t>720,30</t>
  </si>
  <si>
    <t>ESTABILIZADOR DE BRONCE  HTW</t>
  </si>
  <si>
    <t>113,34</t>
  </si>
  <si>
    <t>ANILLOS  DE ATERRIZAJE NTW</t>
  </si>
  <si>
    <t>845,00</t>
  </si>
  <si>
    <t>ANILLOS  DE ATERRIZAJE HTW</t>
  </si>
  <si>
    <t>604,00</t>
  </si>
  <si>
    <t>CUCHILLA PARA CORTADORA HTW</t>
  </si>
  <si>
    <t>2275,80</t>
  </si>
  <si>
    <t>ANILLO DE DESCANSO NTW</t>
  </si>
  <si>
    <t>2528,80</t>
  </si>
  <si>
    <t>ANILLO DE DESCANSO HTW</t>
  </si>
  <si>
    <t>1725,92</t>
  </si>
  <si>
    <t>SET DE EMPAQUES PARA CILINDRO DE AVANCE KD600</t>
  </si>
  <si>
    <t>627,00</t>
  </si>
  <si>
    <t>SET DE MUELAS 3 PZAS PARA TRAMPA MANUAL</t>
  </si>
  <si>
    <t>1506,24</t>
  </si>
  <si>
    <t>RESORTES  PARA PERNO TRAMPA MANUAL</t>
  </si>
  <si>
    <t>335,92</t>
  </si>
  <si>
    <t>PERNOS EXAGONAL PARA TRAMPA MANUAL</t>
  </si>
  <si>
    <t>132,60</t>
  </si>
  <si>
    <t>CABEZA DE ROTACION KD1000</t>
  </si>
  <si>
    <t>10077,00</t>
  </si>
  <si>
    <t>CAMISA EXTERIOR KD1000</t>
  </si>
  <si>
    <t>6109,95</t>
  </si>
  <si>
    <t>CAMISA INTERIOR KD1000</t>
  </si>
  <si>
    <t>5113,80</t>
  </si>
  <si>
    <t>SET DE EMPAQUES DE FOOTCLAMP KD1000</t>
  </si>
  <si>
    <t>1126,20</t>
  </si>
  <si>
    <t>CILINDRO DE AVANZE PRINCIPAL KD1000</t>
  </si>
  <si>
    <t>12953,08</t>
  </si>
  <si>
    <t>PERNO ADAPTADOR EJE PRINCIPAL A NTW</t>
  </si>
  <si>
    <t>2284,60</t>
  </si>
  <si>
    <t>ORING DE LA CAMISA EXTERIOR KD1000</t>
  </si>
  <si>
    <t>220,00</t>
  </si>
  <si>
    <t>PLATO ADAPTADOR DEL MOTOR REXROTH</t>
  </si>
  <si>
    <t>1027,18</t>
  </si>
  <si>
    <t>PRENSA DE ABRAZADERAS DE MANGUERA DE AGUA</t>
  </si>
  <si>
    <t>1036,02</t>
  </si>
  <si>
    <t>GUIADOR DEL WINCHE</t>
  </si>
  <si>
    <t>2188,98</t>
  </si>
  <si>
    <t>VALVULA GUIADOR DEL WINCHE</t>
  </si>
  <si>
    <t>846,10</t>
  </si>
  <si>
    <t>TORNILLO PARA CARBURO DE TUGSTENO BTW</t>
  </si>
  <si>
    <t>139,20</t>
  </si>
  <si>
    <t>TORNILLO PARA CARBURO DE TUGSTENO NTW HTW</t>
  </si>
  <si>
    <t>154,20</t>
  </si>
  <si>
    <t>INSERTO  DE CARBURO DE TUGSTENO BTW</t>
  </si>
  <si>
    <t>405,20</t>
  </si>
  <si>
    <t>RODAMIENTO PARA WINCHA</t>
  </si>
  <si>
    <t>1735,60</t>
  </si>
  <si>
    <t>ACOPLE CANDADO NTW</t>
  </si>
  <si>
    <t>5085,60</t>
  </si>
  <si>
    <t>ACOPLE ADAPTADOR NTW</t>
  </si>
  <si>
    <t>1514,10</t>
  </si>
  <si>
    <t>ANILLOS  DE ATERRIZAJE BTW</t>
  </si>
  <si>
    <t>394,20</t>
  </si>
  <si>
    <t>ANILLO DE DESCANSO BTW</t>
  </si>
  <si>
    <t>1520,70</t>
  </si>
  <si>
    <t>CUCHILLA PARA CORTADORA BTW</t>
  </si>
  <si>
    <t>1983,60</t>
  </si>
  <si>
    <t>RESORTE DE HTW</t>
  </si>
  <si>
    <t>5265,00</t>
  </si>
  <si>
    <t>RESORTE NTW</t>
  </si>
  <si>
    <t>3189,00</t>
  </si>
  <si>
    <t>TUBO INTERIOR HTW</t>
  </si>
  <si>
    <t>2869,00</t>
  </si>
  <si>
    <t>ARANDELA DE AJUSTE  DE LAS GOMAS BTW</t>
  </si>
  <si>
    <t>15,70</t>
  </si>
  <si>
    <t>BASE DE LAS PUNTAS DE LA CABEZA DE TUBO INTERIOR BTW</t>
  </si>
  <si>
    <t>323,90</t>
  </si>
  <si>
    <t>CABEZA DE TUBO INTERIOR BTW</t>
  </si>
  <si>
    <t>2731,44</t>
  </si>
  <si>
    <t>CUERPO  SUPERIOR DEL LATCH DE NTW</t>
  </si>
  <si>
    <t>673,70</t>
  </si>
  <si>
    <t>CUERPO SUPERIOR DEL LATCH DE HTW</t>
  </si>
  <si>
    <t>836,80</t>
  </si>
  <si>
    <t>RODILLO  B13 HTW</t>
  </si>
  <si>
    <t>454,50</t>
  </si>
  <si>
    <t>TUERCA HEXAGONAL HTW</t>
  </si>
  <si>
    <t>23,20</t>
  </si>
  <si>
    <t>TUERCA HEXAGONAL NTW HEX</t>
  </si>
  <si>
    <t>23,10</t>
  </si>
  <si>
    <t>TUERCA HEXAGONAL HTW HEX</t>
  </si>
  <si>
    <t>35,40</t>
  </si>
  <si>
    <t>TUERCA DE SEGURIDAD BTW</t>
  </si>
  <si>
    <t>51,60</t>
  </si>
  <si>
    <t>TUERCA DE SEGURIDAD NTW</t>
  </si>
  <si>
    <t>20,80</t>
  </si>
  <si>
    <t>TUERCA DE SEGURIDAD HTW</t>
  </si>
  <si>
    <t>39,60</t>
  </si>
  <si>
    <t>TUGSTENOS PARA REPARAR MORDAZAS DEL FOOTCLAMP</t>
  </si>
  <si>
    <t>995,00</t>
  </si>
  <si>
    <t>PROBADOR DE TUBO BTW</t>
  </si>
  <si>
    <t>540,66</t>
  </si>
  <si>
    <t>TUBO 5FT</t>
  </si>
  <si>
    <t>104925,00</t>
  </si>
  <si>
    <t>PESCADOR DEL TUBO INTERIOR BTW</t>
  </si>
  <si>
    <t>7286,30</t>
  </si>
  <si>
    <t>PESCADOR DE TUBO INTERIOR NTW</t>
  </si>
  <si>
    <t>7115,60</t>
  </si>
  <si>
    <t>SEGURO DEL PESCADOR NTW HTW PQ</t>
  </si>
  <si>
    <t>726,30</t>
  </si>
  <si>
    <t>PERNO LARGO PARA PESCADOR NTW HTW</t>
  </si>
  <si>
    <t>941,40</t>
  </si>
  <si>
    <t>CANDADO DE PESCADOR NTW</t>
  </si>
  <si>
    <t>PERNO LARGO PARA PESCADOR BTW</t>
  </si>
  <si>
    <t>564,84</t>
  </si>
  <si>
    <t>RESORTE DE LA CABEZA DE PESCADOR</t>
  </si>
  <si>
    <t>24,80</t>
  </si>
  <si>
    <t>ACOPLE CANDADO HTW FORDIA</t>
  </si>
  <si>
    <t>7092,30</t>
  </si>
  <si>
    <t>ACOPLE ADAPTADOR HTW FORDIA</t>
  </si>
  <si>
    <t>3169,80</t>
  </si>
  <si>
    <t>ARANDELA DE AJUSTE  DE LAS GOMAS HTW</t>
  </si>
  <si>
    <t>33,40</t>
  </si>
  <si>
    <t>CUBIERTA RETRACTIL DEL LATCH HTW</t>
  </si>
  <si>
    <t>392,32</t>
  </si>
  <si>
    <t>EJE DE LA CABEZA  HTW</t>
  </si>
  <si>
    <t>1799,20</t>
  </si>
  <si>
    <t>CUERPO INFERIOR DEL LATCH HTW</t>
  </si>
  <si>
    <t>1035,70</t>
  </si>
  <si>
    <t>PIN EN ESPIRAL</t>
  </si>
  <si>
    <t>42,00</t>
  </si>
  <si>
    <t>RESORTE  DEL EJE DE LA CABEZA HTW</t>
  </si>
  <si>
    <t>672,40</t>
  </si>
  <si>
    <t>ALETAS DE CABEZA DE TUBO INTERIOR HTW</t>
  </si>
  <si>
    <t>547,36</t>
  </si>
  <si>
    <t>BASE DE LAS PUNTAS DE LA CABEZA DE TUBO INTERIOR HTW</t>
  </si>
  <si>
    <t>257,44</t>
  </si>
  <si>
    <t>LLAVE DE TUBO INTERIOR HTW</t>
  </si>
  <si>
    <t>2909,50</t>
  </si>
  <si>
    <t>ARANDELA DE AJUSTE  DE LAS GOMAS NTW</t>
  </si>
  <si>
    <t>93,20</t>
  </si>
  <si>
    <t>EJE DE LA CABEZA  NTW</t>
  </si>
  <si>
    <t>956,40</t>
  </si>
  <si>
    <t>GOMAS  AMARILLAS NTW</t>
  </si>
  <si>
    <t>433,00</t>
  </si>
  <si>
    <t>ALETAS DE CABEZA DE TUBO INTERIOR NTW</t>
  </si>
  <si>
    <t>632,10</t>
  </si>
  <si>
    <t>4,40</t>
  </si>
  <si>
    <t>LLAVE DE TUBO INTERIOR NTW</t>
  </si>
  <si>
    <t>2309,90</t>
  </si>
  <si>
    <t>BASE DE LAS PUNTAS DE LA CABEZA DE TUBO INTERIOR NTW</t>
  </si>
  <si>
    <t>383,90</t>
  </si>
  <si>
    <t>CUERPO INFERIOR DEL LATCH NTW</t>
  </si>
  <si>
    <t>327,40</t>
  </si>
  <si>
    <t>GOMAS  AMARILLAS BTW</t>
  </si>
  <si>
    <t>338,00</t>
  </si>
  <si>
    <t>2,60</t>
  </si>
  <si>
    <t>CUERPO INFERIOR DEL LATCH BTW</t>
  </si>
  <si>
    <t>1138,20</t>
  </si>
  <si>
    <t>BOLA DE ACERO 22MM PARA CABEZA DE TUBO INTERIOR BTW NTW HTW</t>
  </si>
  <si>
    <t>102,90</t>
  </si>
  <si>
    <t>BUSHING DE PLASTICO PARA BALIN DE LA CABEZA DE TUBO INTERIOR BTW NTW HTW</t>
  </si>
  <si>
    <t>458,00</t>
  </si>
  <si>
    <t>FLECHA PARA CABEZA DE TUBO INTERIOR BTW NTW HTW</t>
  </si>
  <si>
    <t>1256,00</t>
  </si>
  <si>
    <t>ROLLOS DE CABLE DE WINCHE 1500FT</t>
  </si>
  <si>
    <t>2674,38</t>
  </si>
  <si>
    <t>ROLLOS DE CABLE DE WINCHE 3500FT</t>
  </si>
  <si>
    <t>10400,60</t>
  </si>
  <si>
    <t>CONTENEDOR DE 20</t>
  </si>
  <si>
    <t>2877,88</t>
  </si>
  <si>
    <t>BOMBA DE AGUA CON EMPAQUES 1505(16251-73034)/WATER PUMP GASKET</t>
  </si>
  <si>
    <t>Bomba de agua 2-3 /4 hp</t>
  </si>
  <si>
    <t>LINSEED SOAP 17 KG</t>
  </si>
  <si>
    <t>BIG BEAR</t>
  </si>
  <si>
    <t>8413309100</t>
  </si>
  <si>
    <t>EC-FIN-F-08
REV-0
FEB-2023</t>
  </si>
  <si>
    <t>KLUANE DRILLING ECUADOR SA</t>
  </si>
  <si>
    <t>LIQUIDACION DE IMPORTACION</t>
  </si>
  <si>
    <t>IMPORTACION  N°</t>
  </si>
  <si>
    <t>DATOS PROVEEDOR</t>
  </si>
  <si>
    <t>PROVEEDOR</t>
  </si>
  <si>
    <t>PAIS ORIGEN</t>
  </si>
  <si>
    <t>TIPO DE IMPORTACION</t>
  </si>
  <si>
    <t>AEREA</t>
  </si>
  <si>
    <t>FACTURA</t>
  </si>
  <si>
    <t xml:space="preserve">FECHAS: </t>
  </si>
  <si>
    <t>EMISION</t>
  </si>
  <si>
    <t>EMBARQUE</t>
  </si>
  <si>
    <t>MONTO $</t>
  </si>
  <si>
    <t>NACIONALIZACION</t>
  </si>
  <si>
    <t>LIQUIDACION</t>
  </si>
  <si>
    <t>N/DEBITO$</t>
  </si>
  <si>
    <t>N/CREDITO$</t>
  </si>
  <si>
    <t>TOTAL FACTURA</t>
  </si>
  <si>
    <t>INGRESO BODEGA</t>
  </si>
  <si>
    <t>DETALLE DE LIQUIDACION $</t>
  </si>
  <si>
    <t>Concepto</t>
  </si>
  <si>
    <t>Proveedor</t>
  </si>
  <si>
    <t>N° Dcto</t>
  </si>
  <si>
    <t>Fecha</t>
  </si>
  <si>
    <t>Subtotal</t>
  </si>
  <si>
    <t>Adicionales Seguros</t>
  </si>
  <si>
    <t>Aranceles</t>
  </si>
  <si>
    <t>Fondinfa</t>
  </si>
  <si>
    <t>Alcance / Ajuste</t>
  </si>
  <si>
    <t>Salvaguardia / Flete / Seguro Int</t>
  </si>
  <si>
    <t>Total</t>
  </si>
  <si>
    <t>Costo Aduana</t>
  </si>
  <si>
    <t>CFR/FOB</t>
  </si>
  <si>
    <t xml:space="preserve">ARANCELES </t>
  </si>
  <si>
    <t>SENAE</t>
  </si>
  <si>
    <t>VALOR DE ADUANA - V/FACTURA</t>
  </si>
  <si>
    <t>SENAE (Declaracion aduanera de importación)</t>
  </si>
  <si>
    <t>TOMADO DE LIQUIDACION DE IMPORTACION SOLO PARA CALCULO DE IMPUESTOS (IVA Y FODINFA), MAS NO PARA AFECTAR AL COSTO, YA QUE SI HAY FACTURA DE SEGURO</t>
  </si>
  <si>
    <t>SEGURO TRANSPORTE INTERNO</t>
  </si>
  <si>
    <t>SOLO PARA CALCULO IMPUESTOS (IVA-FODINFA) NO AFECTA AL COSTO</t>
  </si>
  <si>
    <t>ALMACENAJE</t>
  </si>
  <si>
    <t>TRANSPORTE</t>
  </si>
  <si>
    <t xml:space="preserve">HONORARIOS PROFESIONALES </t>
  </si>
  <si>
    <t xml:space="preserve">SERVICIO ADMINISTRATIVO </t>
  </si>
  <si>
    <t>CONOCIMIENTO DE EMBARQUE</t>
  </si>
  <si>
    <t>RETIRO DE GUIA</t>
  </si>
  <si>
    <t>DERECHO DE PUERTO</t>
  </si>
  <si>
    <t>Para cálculo de Iva Y Fodinfa se toma en cuenta el V/ajuste.  No para gastos</t>
  </si>
  <si>
    <t>TRIBUTOS ADUANERO</t>
  </si>
  <si>
    <t>ISD</t>
  </si>
  <si>
    <t>TOTAL IMPORTACION</t>
  </si>
  <si>
    <t>Nº</t>
  </si>
  <si>
    <t>DESCRIPCION/FACTURA PROVEEDOR EXT.</t>
  </si>
  <si>
    <t>TRADUCCION</t>
  </si>
  <si>
    <t>CODE/FACTURA PROVEEDOR EXT.</t>
  </si>
  <si>
    <t>CODIGO</t>
  </si>
  <si>
    <t>V.  UNITARIO</t>
  </si>
  <si>
    <t>TOTAL</t>
  </si>
  <si>
    <t>%</t>
  </si>
  <si>
    <t xml:space="preserve">SEGURO INTERNACIONAL </t>
  </si>
  <si>
    <t xml:space="preserve"> ALCANCE</t>
  </si>
  <si>
    <t>ADVALOREM ADICIONAL</t>
  </si>
  <si>
    <t>V/ DE AJUSTE PARA CALCULO IMPUESTOS</t>
  </si>
  <si>
    <t>GASTOS INTERNOS</t>
  </si>
  <si>
    <t>ISG - GASTO</t>
  </si>
  <si>
    <t>TOTALES</t>
  </si>
  <si>
    <t>V.UNITARIO</t>
  </si>
  <si>
    <t>PARTIDA ARANCELARIA</t>
  </si>
  <si>
    <t>CR.TRIB ISD</t>
  </si>
  <si>
    <t>OBSERVACIONES</t>
  </si>
  <si>
    <t>Advalorem/senae</t>
  </si>
  <si>
    <t>Se toma como crédito tributario el ISD,informacion tomada del archivo: Listado del Comité Técnico de Política Tributaria Vigente desde el 01 de enero del 2021  Resolución CPT-RES-2020-001 y CPT-RES-2020-002</t>
  </si>
  <si>
    <t>DIF. SENAE</t>
  </si>
  <si>
    <t>SISTEMA</t>
  </si>
  <si>
    <t>DIF. SISTEMA</t>
  </si>
  <si>
    <t>V/ CIF</t>
  </si>
  <si>
    <t>CALCULO EXCELL</t>
  </si>
  <si>
    <t>DIFERENCIA</t>
  </si>
  <si>
    <t>Suma de ISD</t>
  </si>
  <si>
    <t>(en blanco)</t>
  </si>
  <si>
    <t>Total general</t>
  </si>
  <si>
    <t>TOTAL REG.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</si>
</sst>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-* #,##0.00\ _$_-;\-* #,##0.00\ _$_-;_-* &quot;-&quot;??\ _$_-;_-@_-"/>
    <numFmt numFmtId="167" formatCode="_(&quot;$&quot;\ * #,##0_);_(&quot;$&quot;\ * \(#,##0\);_(&quot;$&quot;\ * &quot;-&quot;_);_(@_)"/>
    <numFmt numFmtId="168" formatCode="_(* #,##0.00_);_(* \(#,##0.00\);_(* &quot;-&quot;??_);_(@_)"/>
    <numFmt numFmtId="169" formatCode="[$-1009]d\-mmm\-yy;@"/>
    <numFmt numFmtId="170" formatCode="dd/mm/yyyy;@"/>
    <numFmt numFmtId="171" formatCode="&quot;$&quot;\ #,##0.00;[Red]&quot;$&quot;\ #,##0.00"/>
  </numFmts>
  <fonts count="5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Times New Roman"/>
      <family val="1"/>
    </font>
    <font>
      <sz val="7"/>
      <color indexed="8"/>
      <name val="Times New Roman"/>
      <family val="1"/>
    </font>
    <font>
      <sz val="7"/>
      <name val="Arial"/>
      <family val="2"/>
    </font>
    <font>
      <sz val="8"/>
      <name val="Arial"/>
      <family val="2"/>
    </font>
    <font>
      <sz val="11"/>
      <name val="Browallia New"/>
      <family val="2"/>
    </font>
    <font>
      <sz val="10"/>
      <name val="Arial"/>
      <family val="2"/>
    </font>
    <font>
      <b/>
      <sz val="8"/>
      <name val="Browallia Ne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000000"/>
      <name val="Trebuchet MS"/>
      <family val="2"/>
    </font>
    <font>
      <sz val="12"/>
      <color rgb="FF000000"/>
      <name val="Times New Roman"/>
      <family val="1"/>
    </font>
    <font>
      <sz val="12"/>
      <color rgb="FF000000"/>
      <name val="Symbol"/>
      <family val="1"/>
      <charset val="2"/>
    </font>
    <font>
      <b/>
      <sz val="7"/>
      <color rgb="FF000000"/>
      <name val="Arial"/>
      <family val="2"/>
    </font>
    <font>
      <b/>
      <sz val="7"/>
      <color rgb="FF000000"/>
      <name val="Calibri"/>
      <family val="2"/>
    </font>
    <font>
      <sz val="7"/>
      <color rgb="FF000000"/>
      <name val="Arial"/>
      <family val="2"/>
    </font>
    <font>
      <sz val="7"/>
      <color rgb="FF000000"/>
      <name val="Calibri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rgb="FFFF0000"/>
      <name val="Arial"/>
      <family val="2"/>
    </font>
    <font>
      <sz val="7"/>
      <color theme="1"/>
      <name val="Calibri"/>
      <family val="2"/>
      <scheme val="minor"/>
    </font>
    <font>
      <sz val="11"/>
      <color rgb="FF000000"/>
      <name val="Browallia Ne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Browallia New"/>
      <family val="2"/>
    </font>
    <font>
      <b/>
      <sz val="8"/>
      <color theme="1"/>
      <name val="Browallia New"/>
      <family val="2"/>
    </font>
    <font>
      <b/>
      <u/>
      <sz val="8"/>
      <color theme="3"/>
      <name val="Browallia New"/>
      <family val="2"/>
    </font>
    <font>
      <b/>
      <sz val="9"/>
      <color theme="1"/>
      <name val="Browallia New"/>
      <family val="2"/>
    </font>
    <font>
      <b/>
      <sz val="8"/>
      <color theme="9" tint="-0.249977111117893"/>
      <name val="Browallia New"/>
      <family val="2"/>
    </font>
    <font>
      <b/>
      <sz val="8"/>
      <color theme="4"/>
      <name val="Browallia New"/>
      <family val="2"/>
    </font>
    <font>
      <u val="singleAccounting"/>
      <sz val="8"/>
      <color theme="1"/>
      <name val="Browallia New"/>
      <family val="2"/>
    </font>
    <font>
      <sz val="10"/>
      <color theme="1"/>
      <name val="Calibri"/>
      <family val="2"/>
      <scheme val="minor"/>
    </font>
    <font>
      <b/>
      <sz val="8"/>
      <color rgb="FF0070C0"/>
      <name val="Browallia New"/>
      <family val="2"/>
    </font>
    <font>
      <b/>
      <sz val="7"/>
      <color theme="1"/>
      <name val="Browallia New"/>
      <family val="2"/>
    </font>
    <font>
      <sz val="8"/>
      <color theme="5"/>
      <name val="Browallia New"/>
      <family val="2"/>
    </font>
    <font>
      <b/>
      <sz val="8"/>
      <color theme="3"/>
      <name val="Browallia New"/>
      <family val="2"/>
    </font>
    <font>
      <b/>
      <sz val="8"/>
      <color theme="0"/>
      <name val="Browallia New"/>
      <family val="2"/>
    </font>
    <font>
      <b/>
      <sz val="9"/>
      <color theme="3" tint="0.39997558519241921"/>
      <name val="Browallia New"/>
      <family val="2"/>
    </font>
    <font>
      <sz val="11"/>
      <color theme="1"/>
      <name val="Browallia New"/>
      <family val="2"/>
    </font>
    <font>
      <b/>
      <sz val="7"/>
      <color theme="9" tint="-0.249977111117893"/>
      <name val="Browallia New"/>
      <family val="2"/>
    </font>
    <font>
      <b/>
      <sz val="11"/>
      <color theme="1"/>
      <name val="Browallia New"/>
      <family val="2"/>
    </font>
    <font>
      <b/>
      <sz val="11"/>
      <color rgb="FF000000"/>
      <name val="Arial"/>
      <family val="2"/>
    </font>
    <font>
      <sz val="8"/>
      <color theme="0"/>
      <name val="Browallia New"/>
      <family val="2"/>
    </font>
    <font>
      <b/>
      <sz val="10"/>
      <color theme="1"/>
      <name val="Browallia New"/>
      <family val="2"/>
    </font>
    <font>
      <u/>
      <sz val="8"/>
      <color theme="1"/>
      <name val="Browallia New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DC6B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EEE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/>
      <right/>
      <top style="medium">
        <color theme="6"/>
      </top>
      <bottom style="medium">
        <color theme="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2" tint="-0.24994659260841701"/>
      </right>
      <top/>
      <bottom style="medium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medium">
        <color theme="2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2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7">
    <xf numFmtId="0" fontId="0" fillId="0" borderId="0"/>
    <xf numFmtId="168" fontId="11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0" fontId="7" fillId="0" borderId="0"/>
    <xf numFmtId="167" fontId="11" fillId="0" borderId="0"/>
    <xf numFmtId="169" fontId="11" fillId="0" borderId="0"/>
    <xf numFmtId="9" fontId="11" fillId="0" borderId="0" applyFont="0" applyFill="0" applyBorder="0" applyAlignment="0" applyProtection="0"/>
  </cellStyleXfs>
  <cellXfs count="220">
    <xf numFmtId="0" fontId="0" fillId="0" borderId="0" xfId="0"/>
    <xf numFmtId="0" fontId="12" fillId="0" borderId="0" xfId="0" applyFont="1"/>
    <xf numFmtId="168" fontId="0" fillId="0" borderId="0" xfId="0" applyNumberFormat="1"/>
    <xf numFmtId="168" fontId="12" fillId="0" borderId="0" xfId="0" applyNumberFormat="1" applyFont="1"/>
    <xf numFmtId="168" fontId="12" fillId="0" borderId="0" xfId="1" applyFont="1"/>
    <xf numFmtId="168" fontId="11" fillId="2" borderId="0" xfId="1" applyFont="1" applyFill="1"/>
    <xf numFmtId="168" fontId="13" fillId="0" borderId="0" xfId="0" applyNumberFormat="1" applyFont="1"/>
    <xf numFmtId="0" fontId="0" fillId="0" borderId="0" xfId="0" applyAlignment="1">
      <alignment horizontal="center" wrapText="1"/>
    </xf>
    <xf numFmtId="168" fontId="11" fillId="0" borderId="0" xfId="1" applyFont="1" applyAlignment="1">
      <alignment vertical="center"/>
    </xf>
    <xf numFmtId="168" fontId="11" fillId="0" borderId="0" xfId="1" applyFont="1"/>
    <xf numFmtId="168" fontId="14" fillId="0" borderId="0" xfId="1" applyFont="1"/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8" fontId="12" fillId="3" borderId="0" xfId="1" applyFont="1" applyFill="1"/>
    <xf numFmtId="0" fontId="16" fillId="0" borderId="0" xfId="0" applyFont="1" applyAlignment="1">
      <alignment horizontal="left" indent="5"/>
    </xf>
    <xf numFmtId="0" fontId="17" fillId="0" borderId="0" xfId="0" applyFont="1" applyAlignment="1">
      <alignment horizontal="left" indent="5"/>
    </xf>
    <xf numFmtId="0" fontId="16" fillId="0" borderId="0" xfId="0" applyFont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6" fillId="0" borderId="17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/>
    </xf>
    <xf numFmtId="168" fontId="20" fillId="0" borderId="1" xfId="1" applyFont="1" applyBorder="1" applyAlignment="1">
      <alignment horizontal="center"/>
    </xf>
    <xf numFmtId="168" fontId="20" fillId="0" borderId="1" xfId="1" applyFont="1" applyBorder="1" applyAlignment="1">
      <alignment horizontal="right"/>
    </xf>
    <xf numFmtId="9" fontId="20" fillId="0" borderId="1" xfId="0" applyNumberFormat="1" applyFont="1" applyBorder="1" applyAlignment="1">
      <alignment horizontal="center"/>
    </xf>
    <xf numFmtId="168" fontId="20" fillId="0" borderId="2" xfId="1" applyFont="1" applyBorder="1" applyAlignment="1">
      <alignment horizontal="right"/>
    </xf>
    <xf numFmtId="168" fontId="21" fillId="0" borderId="0" xfId="1" applyFont="1" applyBorder="1" applyAlignment="1">
      <alignment horizontal="right"/>
    </xf>
    <xf numFmtId="0" fontId="22" fillId="0" borderId="0" xfId="0" applyFont="1"/>
    <xf numFmtId="168" fontId="23" fillId="0" borderId="0" xfId="0" applyNumberFormat="1" applyFont="1"/>
    <xf numFmtId="168" fontId="23" fillId="0" borderId="3" xfId="1" applyFont="1" applyBorder="1"/>
    <xf numFmtId="168" fontId="22" fillId="0" borderId="1" xfId="1" applyFont="1" applyBorder="1" applyAlignment="1"/>
    <xf numFmtId="168" fontId="23" fillId="0" borderId="1" xfId="1" applyFont="1" applyBorder="1"/>
    <xf numFmtId="168" fontId="24" fillId="0" borderId="0" xfId="1" applyFont="1" applyBorder="1"/>
    <xf numFmtId="168" fontId="25" fillId="0" borderId="0" xfId="0" applyNumberFormat="1" applyFont="1"/>
    <xf numFmtId="168" fontId="25" fillId="0" borderId="4" xfId="1" applyFont="1" applyFill="1" applyBorder="1" applyAlignment="1">
      <alignment horizontal="right"/>
    </xf>
    <xf numFmtId="0" fontId="26" fillId="0" borderId="0" xfId="0" applyFont="1"/>
    <xf numFmtId="2" fontId="0" fillId="0" borderId="3" xfId="0" applyNumberFormat="1" applyBorder="1"/>
    <xf numFmtId="168" fontId="11" fillId="4" borderId="0" xfId="1" applyFont="1" applyFill="1"/>
    <xf numFmtId="0" fontId="0" fillId="0" borderId="3" xfId="0" applyBorder="1"/>
    <xf numFmtId="168" fontId="27" fillId="0" borderId="1" xfId="1" quotePrefix="1" applyFont="1" applyBorder="1" applyAlignment="1">
      <alignment horizontal="center" vertical="center"/>
    </xf>
    <xf numFmtId="168" fontId="8" fillId="0" borderId="1" xfId="1" applyFont="1" applyFill="1" applyBorder="1" applyAlignment="1">
      <alignment horizontal="center" vertical="center"/>
    </xf>
    <xf numFmtId="168" fontId="23" fillId="0" borderId="1" xfId="0" applyNumberFormat="1" applyFont="1" applyBorder="1"/>
    <xf numFmtId="9" fontId="9" fillId="0" borderId="1" xfId="26" applyFont="1" applyFill="1" applyBorder="1"/>
    <xf numFmtId="9" fontId="9" fillId="0" borderId="1" xfId="1" applyNumberFormat="1" applyFont="1" applyFill="1" applyBorder="1"/>
    <xf numFmtId="168" fontId="26" fillId="0" borderId="0" xfId="0" applyNumberFormat="1" applyFont="1"/>
    <xf numFmtId="168" fontId="27" fillId="0" borderId="1" xfId="1" quotePrefix="1" applyFont="1" applyBorder="1" applyAlignment="1">
      <alignment horizontal="left" vertical="center"/>
    </xf>
    <xf numFmtId="0" fontId="0" fillId="3" borderId="0" xfId="0" applyFill="1"/>
    <xf numFmtId="0" fontId="28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9" fontId="31" fillId="0" borderId="9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9" fontId="30" fillId="0" borderId="9" xfId="0" applyNumberFormat="1" applyFont="1" applyBorder="1" applyAlignment="1">
      <alignment horizontal="center" vertical="center"/>
    </xf>
    <xf numFmtId="9" fontId="29" fillId="0" borderId="9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9" fontId="29" fillId="0" borderId="9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right"/>
    </xf>
    <xf numFmtId="170" fontId="35" fillId="0" borderId="0" xfId="0" applyNumberFormat="1" applyFont="1" applyAlignment="1">
      <alignment horizontal="center"/>
    </xf>
    <xf numFmtId="170" fontId="35" fillId="0" borderId="0" xfId="0" applyNumberFormat="1" applyFont="1"/>
    <xf numFmtId="0" fontId="35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170" fontId="34" fillId="0" borderId="0" xfId="0" applyNumberFormat="1" applyFont="1"/>
    <xf numFmtId="168" fontId="34" fillId="0" borderId="0" xfId="1" applyFont="1"/>
    <xf numFmtId="168" fontId="34" fillId="0" borderId="0" xfId="0" applyNumberFormat="1" applyFont="1"/>
    <xf numFmtId="0" fontId="35" fillId="0" borderId="18" xfId="0" applyFont="1" applyBorder="1"/>
    <xf numFmtId="0" fontId="35" fillId="0" borderId="19" xfId="0" applyFont="1" applyBorder="1"/>
    <xf numFmtId="168" fontId="35" fillId="0" borderId="19" xfId="1" applyFont="1" applyBorder="1"/>
    <xf numFmtId="168" fontId="34" fillId="0" borderId="20" xfId="1" applyFont="1" applyBorder="1" applyAlignment="1">
      <alignment horizontal="center" vertical="center"/>
    </xf>
    <xf numFmtId="168" fontId="34" fillId="0" borderId="20" xfId="0" applyNumberFormat="1" applyFont="1" applyBorder="1" applyAlignment="1">
      <alignment horizontal="center" vertical="center"/>
    </xf>
    <xf numFmtId="168" fontId="34" fillId="0" borderId="20" xfId="1" applyFont="1" applyFill="1" applyBorder="1" applyAlignment="1">
      <alignment horizontal="center" vertical="center"/>
    </xf>
    <xf numFmtId="168" fontId="35" fillId="0" borderId="21" xfId="1" applyFont="1" applyBorder="1" applyAlignment="1">
      <alignment horizontal="center"/>
    </xf>
    <xf numFmtId="168" fontId="35" fillId="5" borderId="21" xfId="1" applyFont="1" applyFill="1" applyBorder="1" applyAlignment="1">
      <alignment horizontal="center"/>
    </xf>
    <xf numFmtId="168" fontId="10" fillId="0" borderId="22" xfId="1" applyFont="1" applyBorder="1"/>
    <xf numFmtId="0" fontId="34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165" fontId="34" fillId="0" borderId="0" xfId="0" applyNumberFormat="1" applyFont="1"/>
    <xf numFmtId="1" fontId="34" fillId="0" borderId="0" xfId="0" applyNumberFormat="1" applyFont="1"/>
    <xf numFmtId="0" fontId="35" fillId="6" borderId="0" xfId="0" applyFont="1" applyFill="1" applyAlignment="1">
      <alignment horizontal="center" vertical="center" wrapText="1"/>
    </xf>
    <xf numFmtId="168" fontId="34" fillId="0" borderId="23" xfId="1" applyFont="1" applyBorder="1" applyAlignment="1">
      <alignment horizontal="center" vertical="center"/>
    </xf>
    <xf numFmtId="168" fontId="35" fillId="0" borderId="24" xfId="1" applyFont="1" applyBorder="1" applyAlignment="1">
      <alignment horizontal="center"/>
    </xf>
    <xf numFmtId="1" fontId="35" fillId="0" borderId="25" xfId="1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6" xfId="0" applyFont="1" applyBorder="1" applyAlignment="1">
      <alignment horizontal="center"/>
    </xf>
    <xf numFmtId="0" fontId="34" fillId="7" borderId="0" xfId="0" applyFont="1" applyFill="1" applyAlignment="1">
      <alignment horizontal="center" vertical="center" wrapText="1"/>
    </xf>
    <xf numFmtId="168" fontId="34" fillId="8" borderId="20" xfId="1" applyFont="1" applyFill="1" applyBorder="1" applyAlignment="1">
      <alignment horizontal="center" vertical="center"/>
    </xf>
    <xf numFmtId="168" fontId="34" fillId="9" borderId="0" xfId="1" applyFont="1" applyFill="1"/>
    <xf numFmtId="168" fontId="35" fillId="9" borderId="21" xfId="1" applyFont="1" applyFill="1" applyBorder="1" applyAlignment="1">
      <alignment horizontal="center"/>
    </xf>
    <xf numFmtId="168" fontId="37" fillId="0" borderId="21" xfId="1" applyFont="1" applyBorder="1" applyAlignment="1">
      <alignment horizontal="center"/>
    </xf>
    <xf numFmtId="168" fontId="38" fillId="0" borderId="0" xfId="1" applyFont="1"/>
    <xf numFmtId="0" fontId="38" fillId="0" borderId="0" xfId="0" applyFont="1"/>
    <xf numFmtId="0" fontId="39" fillId="0" borderId="0" xfId="0" applyFont="1"/>
    <xf numFmtId="168" fontId="38" fillId="10" borderId="0" xfId="1" applyFont="1" applyFill="1"/>
    <xf numFmtId="168" fontId="35" fillId="0" borderId="0" xfId="1" applyFont="1" applyBorder="1" applyAlignment="1"/>
    <xf numFmtId="168" fontId="40" fillId="0" borderId="0" xfId="1" applyFont="1"/>
    <xf numFmtId="168" fontId="34" fillId="11" borderId="20" xfId="1" applyFont="1" applyFill="1" applyBorder="1" applyAlignment="1">
      <alignment horizontal="center" vertical="center"/>
    </xf>
    <xf numFmtId="166" fontId="34" fillId="0" borderId="20" xfId="1" applyNumberFormat="1" applyFont="1" applyBorder="1" applyAlignment="1">
      <alignment horizontal="center" vertical="center"/>
    </xf>
    <xf numFmtId="166" fontId="34" fillId="0" borderId="0" xfId="0" applyNumberFormat="1" applyFont="1"/>
    <xf numFmtId="168" fontId="34" fillId="0" borderId="0" xfId="1" applyFont="1" applyAlignment="1">
      <alignment horizontal="center"/>
    </xf>
    <xf numFmtId="0" fontId="34" fillId="0" borderId="0" xfId="0" applyFont="1" applyAlignment="1">
      <alignment vertical="top" wrapText="1"/>
    </xf>
    <xf numFmtId="0" fontId="34" fillId="0" borderId="27" xfId="0" applyFont="1" applyBorder="1" applyAlignment="1">
      <alignment vertical="top" wrapText="1"/>
    </xf>
    <xf numFmtId="0" fontId="34" fillId="0" borderId="10" xfId="0" applyFont="1" applyBorder="1"/>
    <xf numFmtId="0" fontId="34" fillId="0" borderId="11" xfId="0" applyFont="1" applyBorder="1"/>
    <xf numFmtId="0" fontId="34" fillId="0" borderId="20" xfId="0" applyFont="1" applyBorder="1" applyAlignment="1">
      <alignment horizontal="left" vertical="center"/>
    </xf>
    <xf numFmtId="0" fontId="34" fillId="0" borderId="20" xfId="0" quotePrefix="1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168" fontId="34" fillId="0" borderId="0" xfId="1" applyFont="1" applyAlignment="1">
      <alignment vertical="center"/>
    </xf>
    <xf numFmtId="9" fontId="29" fillId="12" borderId="9" xfId="0" applyNumberFormat="1" applyFont="1" applyFill="1" applyBorder="1" applyAlignment="1">
      <alignment horizontal="center" vertical="center" wrapText="1"/>
    </xf>
    <xf numFmtId="9" fontId="29" fillId="0" borderId="7" xfId="0" applyNumberFormat="1" applyFont="1" applyBorder="1" applyAlignment="1">
      <alignment horizontal="center" vertical="center" wrapText="1"/>
    </xf>
    <xf numFmtId="49" fontId="41" fillId="13" borderId="17" xfId="0" applyNumberFormat="1" applyFont="1" applyFill="1" applyBorder="1" applyAlignment="1">
      <alignment wrapText="1"/>
    </xf>
    <xf numFmtId="168" fontId="10" fillId="9" borderId="22" xfId="1" applyFont="1" applyFill="1" applyBorder="1"/>
    <xf numFmtId="170" fontId="34" fillId="0" borderId="0" xfId="0" applyNumberFormat="1" applyFont="1" applyAlignment="1">
      <alignment vertical="center"/>
    </xf>
    <xf numFmtId="0" fontId="34" fillId="14" borderId="0" xfId="0" applyFont="1" applyFill="1"/>
    <xf numFmtId="0" fontId="35" fillId="14" borderId="0" xfId="0" applyFont="1" applyFill="1" applyAlignment="1">
      <alignment horizontal="center" vertical="center"/>
    </xf>
    <xf numFmtId="170" fontId="34" fillId="14" borderId="0" xfId="0" applyNumberFormat="1" applyFont="1" applyFill="1"/>
    <xf numFmtId="168" fontId="35" fillId="14" borderId="0" xfId="1" applyFont="1" applyFill="1"/>
    <xf numFmtId="168" fontId="34" fillId="14" borderId="0" xfId="1" applyFont="1" applyFill="1"/>
    <xf numFmtId="9" fontId="0" fillId="0" borderId="0" xfId="0" applyNumberFormat="1"/>
    <xf numFmtId="0" fontId="34" fillId="0" borderId="20" xfId="1" applyNumberFormat="1" applyFont="1" applyFill="1" applyBorder="1" applyAlignment="1">
      <alignment horizontal="center" vertical="center"/>
    </xf>
    <xf numFmtId="0" fontId="34" fillId="0" borderId="0" xfId="0" applyFont="1" applyAlignment="1">
      <alignment wrapText="1"/>
    </xf>
    <xf numFmtId="168" fontId="34" fillId="0" borderId="0" xfId="1" applyFont="1" applyFill="1"/>
    <xf numFmtId="0" fontId="43" fillId="0" borderId="0" xfId="0" applyFont="1"/>
    <xf numFmtId="0" fontId="35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left" vertical="center" wrapText="1"/>
    </xf>
    <xf numFmtId="0" fontId="34" fillId="14" borderId="0" xfId="0" applyFont="1" applyFill="1" applyAlignment="1">
      <alignment horizontal="center"/>
    </xf>
    <xf numFmtId="0" fontId="34" fillId="0" borderId="0" xfId="0" applyFont="1" applyAlignment="1">
      <alignment horizontal="center" vertical="center" wrapText="1"/>
    </xf>
    <xf numFmtId="168" fontId="34" fillId="9" borderId="0" xfId="1" applyFont="1" applyFill="1" applyAlignment="1">
      <alignment vertical="center"/>
    </xf>
    <xf numFmtId="168" fontId="35" fillId="0" borderId="0" xfId="0" applyNumberFormat="1" applyFont="1" applyAlignment="1">
      <alignment vertical="center"/>
    </xf>
    <xf numFmtId="168" fontId="34" fillId="0" borderId="0" xfId="0" applyNumberFormat="1" applyFont="1" applyAlignment="1">
      <alignment vertical="center"/>
    </xf>
    <xf numFmtId="1" fontId="34" fillId="0" borderId="0" xfId="0" applyNumberFormat="1" applyFont="1" applyAlignment="1">
      <alignment vertical="center"/>
    </xf>
    <xf numFmtId="0" fontId="44" fillId="0" borderId="0" xfId="0" applyFont="1" applyAlignment="1">
      <alignment horizontal="center"/>
    </xf>
    <xf numFmtId="168" fontId="35" fillId="0" borderId="0" xfId="0" applyNumberFormat="1" applyFont="1"/>
    <xf numFmtId="0" fontId="45" fillId="0" borderId="29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15" borderId="29" xfId="0" applyFont="1" applyFill="1" applyBorder="1" applyAlignment="1">
      <alignment horizontal="center" vertical="center" wrapText="1"/>
    </xf>
    <xf numFmtId="0" fontId="45" fillId="0" borderId="29" xfId="0" applyFont="1" applyBorder="1" applyAlignment="1">
      <alignment horizontal="center" wrapText="1"/>
    </xf>
    <xf numFmtId="0" fontId="45" fillId="11" borderId="29" xfId="0" applyFont="1" applyFill="1" applyBorder="1" applyAlignment="1">
      <alignment horizontal="center" vertical="center" wrapText="1"/>
    </xf>
    <xf numFmtId="0" fontId="46" fillId="16" borderId="29" xfId="0" applyFont="1" applyFill="1" applyBorder="1" applyAlignment="1">
      <alignment horizontal="center" vertical="center" wrapText="1"/>
    </xf>
    <xf numFmtId="0" fontId="45" fillId="15" borderId="29" xfId="0" applyFont="1" applyFill="1" applyBorder="1" applyAlignment="1">
      <alignment horizontal="center" vertical="center" wrapText="1"/>
    </xf>
    <xf numFmtId="0" fontId="35" fillId="11" borderId="29" xfId="0" applyFont="1" applyFill="1" applyBorder="1" applyAlignment="1">
      <alignment horizontal="center" vertical="center" wrapText="1"/>
    </xf>
    <xf numFmtId="0" fontId="45" fillId="8" borderId="29" xfId="0" applyFont="1" applyFill="1" applyBorder="1" applyAlignment="1">
      <alignment horizontal="center" vertical="center" wrapText="1"/>
    </xf>
    <xf numFmtId="0" fontId="45" fillId="17" borderId="29" xfId="0" applyFont="1" applyFill="1" applyBorder="1" applyAlignment="1">
      <alignment horizontal="center" vertical="center" wrapText="1"/>
    </xf>
    <xf numFmtId="1" fontId="45" fillId="18" borderId="0" xfId="0" applyNumberFormat="1" applyFont="1" applyFill="1" applyAlignment="1">
      <alignment horizontal="center" vertical="center" wrapText="1"/>
    </xf>
    <xf numFmtId="168" fontId="47" fillId="0" borderId="0" xfId="1" applyFont="1"/>
    <xf numFmtId="168" fontId="35" fillId="0" borderId="0" xfId="1" applyFont="1"/>
    <xf numFmtId="2" fontId="48" fillId="0" borderId="0" xfId="0" applyNumberFormat="1" applyFont="1"/>
    <xf numFmtId="0" fontId="48" fillId="0" borderId="0" xfId="0" applyFont="1"/>
    <xf numFmtId="165" fontId="35" fillId="10" borderId="0" xfId="0" applyNumberFormat="1" applyFont="1" applyFill="1"/>
    <xf numFmtId="165" fontId="35" fillId="0" borderId="0" xfId="0" applyNumberFormat="1" applyFont="1"/>
    <xf numFmtId="0" fontId="43" fillId="0" borderId="13" xfId="0" applyFont="1" applyBorder="1"/>
    <xf numFmtId="168" fontId="49" fillId="0" borderId="11" xfId="1" applyFont="1" applyBorder="1" applyAlignment="1">
      <alignment horizontal="center"/>
    </xf>
    <xf numFmtId="168" fontId="43" fillId="0" borderId="11" xfId="1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168" fontId="43" fillId="0" borderId="14" xfId="1" applyFont="1" applyBorder="1" applyAlignment="1">
      <alignment horizontal="center"/>
    </xf>
    <xf numFmtId="0" fontId="35" fillId="0" borderId="15" xfId="0" applyFont="1" applyBorder="1"/>
    <xf numFmtId="168" fontId="35" fillId="0" borderId="10" xfId="1" applyFont="1" applyBorder="1"/>
    <xf numFmtId="0" fontId="35" fillId="0" borderId="10" xfId="0" applyFont="1" applyBorder="1"/>
    <xf numFmtId="166" fontId="35" fillId="0" borderId="9" xfId="0" applyNumberFormat="1" applyFont="1" applyBorder="1"/>
    <xf numFmtId="0" fontId="48" fillId="0" borderId="30" xfId="0" applyFont="1" applyBorder="1"/>
    <xf numFmtId="168" fontId="48" fillId="0" borderId="0" xfId="0" applyNumberFormat="1" applyFont="1"/>
    <xf numFmtId="0" fontId="50" fillId="0" borderId="30" xfId="0" applyFont="1" applyBorder="1"/>
    <xf numFmtId="168" fontId="50" fillId="0" borderId="0" xfId="1" applyFont="1"/>
    <xf numFmtId="164" fontId="34" fillId="0" borderId="0" xfId="0" applyNumberFormat="1" applyFont="1"/>
    <xf numFmtId="168" fontId="34" fillId="0" borderId="31" xfId="1" applyFont="1" applyBorder="1" applyAlignment="1">
      <alignment horizontal="center" vertical="center"/>
    </xf>
    <xf numFmtId="168" fontId="34" fillId="0" borderId="20" xfId="1" quotePrefix="1" applyFont="1" applyFill="1" applyBorder="1" applyAlignment="1">
      <alignment horizontal="center" vertical="center"/>
    </xf>
    <xf numFmtId="168" fontId="35" fillId="9" borderId="10" xfId="1" applyFont="1" applyFill="1" applyBorder="1"/>
    <xf numFmtId="0" fontId="34" fillId="0" borderId="28" xfId="0" applyFont="1" applyBorder="1" applyAlignment="1">
      <alignment horizontal="left" vertical="top" wrapText="1"/>
    </xf>
    <xf numFmtId="164" fontId="48" fillId="0" borderId="0" xfId="0" applyNumberFormat="1" applyFont="1"/>
    <xf numFmtId="164" fontId="34" fillId="0" borderId="20" xfId="0" applyNumberFormat="1" applyFont="1" applyBorder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0" fontId="54" fillId="0" borderId="0" xfId="0" applyFont="1"/>
    <xf numFmtId="168" fontId="42" fillId="20" borderId="0" xfId="1" applyFont="1" applyFill="1"/>
    <xf numFmtId="0" fontId="48" fillId="0" borderId="39" xfId="0" pivotButton="1" applyFont="1" applyBorder="1"/>
    <xf numFmtId="0" fontId="48" fillId="0" borderId="40" xfId="0" applyFont="1" applyBorder="1"/>
    <xf numFmtId="0" fontId="48" fillId="0" borderId="39" xfId="0" applyFont="1" applyBorder="1"/>
    <xf numFmtId="168" fontId="48" fillId="0" borderId="40" xfId="0" applyNumberFormat="1" applyFont="1" applyBorder="1"/>
    <xf numFmtId="0" fontId="48" fillId="0" borderId="41" xfId="0" applyFont="1" applyBorder="1"/>
    <xf numFmtId="168" fontId="48" fillId="0" borderId="42" xfId="0" applyNumberFormat="1" applyFont="1" applyBorder="1"/>
    <xf numFmtId="0" fontId="5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70" fontId="35" fillId="9" borderId="18" xfId="0" applyNumberFormat="1" applyFont="1" applyFill="1" applyBorder="1" applyAlignment="1">
      <alignment horizontal="center"/>
    </xf>
    <xf numFmtId="170" fontId="35" fillId="9" borderId="32" xfId="0" applyNumberFormat="1" applyFont="1" applyFill="1" applyBorder="1" applyAlignment="1">
      <alignment horizontal="center"/>
    </xf>
    <xf numFmtId="171" fontId="35" fillId="0" borderId="18" xfId="0" applyNumberFormat="1" applyFont="1" applyBorder="1" applyAlignment="1">
      <alignment horizontal="center"/>
    </xf>
    <xf numFmtId="171" fontId="35" fillId="0" borderId="32" xfId="0" applyNumberFormat="1" applyFont="1" applyBorder="1" applyAlignment="1">
      <alignment horizontal="center"/>
    </xf>
    <xf numFmtId="170" fontId="35" fillId="19" borderId="18" xfId="0" applyNumberFormat="1" applyFont="1" applyFill="1" applyBorder="1" applyAlignment="1">
      <alignment horizontal="center"/>
    </xf>
    <xf numFmtId="170" fontId="35" fillId="19" borderId="32" xfId="0" applyNumberFormat="1" applyFont="1" applyFill="1" applyBorder="1" applyAlignment="1">
      <alignment horizontal="center"/>
    </xf>
    <xf numFmtId="0" fontId="53" fillId="0" borderId="13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45" fillId="0" borderId="0" xfId="0" applyFont="1" applyAlignment="1">
      <alignment horizontal="center"/>
    </xf>
    <xf numFmtId="0" fontId="35" fillId="0" borderId="18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170" fontId="35" fillId="0" borderId="18" xfId="0" applyNumberFormat="1" applyFont="1" applyBorder="1" applyAlignment="1">
      <alignment horizontal="center"/>
    </xf>
    <xf numFmtId="170" fontId="35" fillId="0" borderId="32" xfId="0" applyNumberFormat="1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0" fontId="35" fillId="0" borderId="38" xfId="0" applyFont="1" applyBorder="1" applyAlignment="1">
      <alignment horizontal="center"/>
    </xf>
    <xf numFmtId="171" fontId="37" fillId="0" borderId="18" xfId="0" applyNumberFormat="1" applyFont="1" applyBorder="1" applyAlignment="1">
      <alignment horizontal="center"/>
    </xf>
    <xf numFmtId="171" fontId="37" fillId="0" borderId="32" xfId="0" applyNumberFormat="1" applyFont="1" applyBorder="1" applyAlignment="1">
      <alignment horizontal="center"/>
    </xf>
    <xf numFmtId="0" fontId="52" fillId="16" borderId="0" xfId="0" applyFont="1" applyFill="1" applyAlignment="1">
      <alignment horizontal="left" vertical="top" wrapText="1"/>
    </xf>
    <xf numFmtId="0" fontId="52" fillId="16" borderId="27" xfId="0" applyFont="1" applyFill="1" applyBorder="1" applyAlignment="1">
      <alignment horizontal="left" vertical="top" wrapText="1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</cellXfs>
  <cellStyles count="27">
    <cellStyle name="Millares" xfId="1" builtinId="3"/>
    <cellStyle name="Millares 2" xfId="2" xr:uid="{00000000-0005-0000-0000-000001000000}"/>
    <cellStyle name="Millares 3" xfId="3" xr:uid="{00000000-0005-0000-0000-000002000000}"/>
    <cellStyle name="Normal" xfId="0" builtinId="0"/>
    <cellStyle name="Normal 100" xfId="4" xr:uid="{00000000-0005-0000-0000-000004000000}"/>
    <cellStyle name="Normal 102" xfId="5" xr:uid="{00000000-0005-0000-0000-000005000000}"/>
    <cellStyle name="Normal 104" xfId="6" xr:uid="{00000000-0005-0000-0000-000006000000}"/>
    <cellStyle name="Normal 106" xfId="7" xr:uid="{00000000-0005-0000-0000-000007000000}"/>
    <cellStyle name="Normal 108" xfId="8" xr:uid="{00000000-0005-0000-0000-000008000000}"/>
    <cellStyle name="Normal 116" xfId="9" xr:uid="{00000000-0005-0000-0000-000009000000}"/>
    <cellStyle name="Normal 142" xfId="10" xr:uid="{00000000-0005-0000-0000-00000A000000}"/>
    <cellStyle name="Normal 144" xfId="11" xr:uid="{00000000-0005-0000-0000-00000B000000}"/>
    <cellStyle name="Normal 146" xfId="12" xr:uid="{00000000-0005-0000-0000-00000C000000}"/>
    <cellStyle name="Normal 148" xfId="13" xr:uid="{00000000-0005-0000-0000-00000D000000}"/>
    <cellStyle name="Normal 150" xfId="14" xr:uid="{00000000-0005-0000-0000-00000E000000}"/>
    <cellStyle name="Normal 152" xfId="15" xr:uid="{00000000-0005-0000-0000-00000F000000}"/>
    <cellStyle name="Normal 154" xfId="16" xr:uid="{00000000-0005-0000-0000-000010000000}"/>
    <cellStyle name="Normal 156" xfId="17" xr:uid="{00000000-0005-0000-0000-000011000000}"/>
    <cellStyle name="Normal 158" xfId="18" xr:uid="{00000000-0005-0000-0000-000012000000}"/>
    <cellStyle name="Normal 160" xfId="19" xr:uid="{00000000-0005-0000-0000-000013000000}"/>
    <cellStyle name="Normal 162" xfId="20" xr:uid="{00000000-0005-0000-0000-000014000000}"/>
    <cellStyle name="Normal 164" xfId="21" xr:uid="{00000000-0005-0000-0000-000015000000}"/>
    <cellStyle name="Normal 166" xfId="22" xr:uid="{00000000-0005-0000-0000-000016000000}"/>
    <cellStyle name="Normal 2" xfId="23" xr:uid="{00000000-0005-0000-0000-000017000000}"/>
    <cellStyle name="Normal 3" xfId="24" xr:uid="{00000000-0005-0000-0000-000018000000}"/>
    <cellStyle name="Normal 3 2" xfId="25" xr:uid="{00000000-0005-0000-0000-000019000000}"/>
    <cellStyle name="Porcentaje" xfId="26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8" formatCode="_(* #,##0.00_);_(* \(#,##0.00\);_(* &quot;-&quot;??_);_(@_)"/>
    </dxf>
    <dxf>
      <font>
        <name val="Browallia New"/>
        <scheme val="none"/>
      </font>
    </dxf>
    <dxf>
      <font>
        <name val="Browallia New"/>
        <scheme val="none"/>
      </font>
    </dxf>
    <dxf>
      <font>
        <name val="Browallia New"/>
        <scheme val="none"/>
      </font>
    </dxf>
    <dxf>
      <font>
        <name val="Browallia New"/>
        <scheme val="none"/>
      </font>
    </dxf>
    <dxf>
      <font>
        <name val="Browallia New"/>
        <scheme val="none"/>
      </font>
    </dxf>
    <dxf>
      <font>
        <name val="Browallia New"/>
        <scheme val="none"/>
      </font>
    </dxf>
    <dxf>
      <font>
        <name val="Browallia Ne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685800</xdr:colOff>
      <xdr:row>3</xdr:row>
      <xdr:rowOff>11055</xdr:rowOff>
    </xdr:to>
    <xdr:pic>
      <xdr:nvPicPr>
        <xdr:cNvPr id="23585" name="Imagen 2">
          <a:extLst>
            <a:ext uri="{FF2B5EF4-FFF2-40B4-BE49-F238E27FC236}">
              <a16:creationId xmlns:a16="http://schemas.microsoft.com/office/drawing/2014/main" id="{009D2AB5-D0AD-4876-A7D9-59731700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676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461.532186689816" createdVersion="7" refreshedVersion="6" minRefreshableVersion="3" recordCount="10" xr:uid="{7A4738DC-0267-4DCF-94C8-8F09FC79C576}">
  <cacheSource type="worksheet">
    <worksheetSource ref="X33:AA38" sheet="Liquidación"/>
  </cacheSource>
  <cacheFields count="3">
    <cacheField name="ISD" numFmtId="168">
      <sharedItems/>
    </cacheField>
    <cacheField name="PARTIDA ARANCELARIA" numFmtId="0">
      <sharedItems containsNonDate="0" containsString="0" containsBlank="1"/>
    </cacheField>
    <cacheField name="CR.TRIB ISD" numFmtId="0">
      <sharedItems containsNonDate="0" containsBlank="1" count="2">
        <m/>
        <s v="SI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e v="#DIV/0!"/>
    <m/>
    <x v="0"/>
  </r>
  <r>
    <e v="#DIV/0!"/>
    <m/>
    <x v="0"/>
  </r>
  <r>
    <e v="#DIV/0!"/>
    <m/>
    <x v="0"/>
  </r>
  <r>
    <e v="#DIV/0!"/>
    <m/>
    <x v="0"/>
  </r>
  <r>
    <e v="#DIV/0!"/>
    <m/>
    <x v="0"/>
  </r>
  <r>
    <e v="#DIV/0!"/>
    <m/>
    <x v="0"/>
  </r>
  <r>
    <e v="#DIV/0!"/>
    <m/>
    <x v="0"/>
  </r>
  <r>
    <e v="#DIV/0!"/>
    <m/>
    <x v="0"/>
  </r>
  <r>
    <e v="#DIV/0!"/>
    <m/>
    <x v="0"/>
  </r>
  <r>
    <e v="#DIV/0!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555DFD-245B-4304-9717-0AFA6F5DCFA9}" name="Tabla dinámica1" cacheId="3115" dataOnRows="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7" indent="0" compact="0" compactData="0" gridDropZones="1">
  <location ref="X46:Y49" firstHeaderRow="2" firstDataRow="2" firstDataCol="1"/>
  <pivotFields count="3">
    <pivotField dataField="1" compact="0" numFmtId="168" outline="0" subtotalTop="0" showAll="0" includeNewItemsInFilter="1"/>
    <pivotField compact="0" numFmtId="1" outline="0" subtotalTop="0" showAll="0" includeNewItemsInFilter="1"/>
    <pivotField axis="axisRow" compact="0" outline="0" subtotalTop="0" showAll="0" includeNewItemsInFilter="1">
      <items count="3">
        <item x="0"/>
        <item m="1" x="1"/>
        <item t="default"/>
      </items>
    </pivotField>
  </pivotFields>
  <rowFields count="1">
    <field x="2"/>
  </rowFields>
  <rowItems count="2">
    <i>
      <x/>
    </i>
    <i t="grand">
      <x/>
    </i>
  </rowItems>
  <colItems count="1">
    <i/>
  </colItems>
  <dataFields count="1">
    <dataField name="Suma de ISD" fld="0" baseField="0" baseItem="0" numFmtId="168"/>
  </dataFields>
  <formats count="8">
    <format dxfId="2">
      <pivotArea outline="0" fieldPosition="0"/>
    </format>
    <format dxfId="3">
      <pivotArea type="all" dataOnly="0" outline="0" fieldPosition="0"/>
    </format>
    <format dxfId="4">
      <pivotArea outline="0" fieldPosition="0"/>
    </format>
    <format dxfId="5">
      <pivotArea type="origin" dataOnly="0" labelOnly="1" outline="0" fieldPosition="0"/>
    </format>
    <format dxfId="6">
      <pivotArea field="2" type="button" dataOnly="0" labelOnly="1" outline="0" axis="axisRow" fieldPosition="0"/>
    </format>
    <format dxfId="7">
      <pivotArea dataOnly="0" labelOnly="1" outline="0" fieldPosition="0">
        <references count="1">
          <reference field="2" count="0"/>
        </references>
      </pivotArea>
    </format>
    <format dxfId="8">
      <pivotArea dataOnly="0" labelOnly="1" grandRow="1" outline="0" fieldPosition="0"/>
    </format>
    <format dxfId="9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54"/>
  <sheetViews>
    <sheetView topLeftCell="E1" workbookViewId="0">
      <selection activeCell="M7" sqref="M7"/>
    </sheetView>
  </sheetViews>
  <sheetFormatPr defaultColWidth="11.42578125" defaultRowHeight="14.45"/>
  <cols>
    <col min="1" max="1" width="4" customWidth="1"/>
    <col min="2" max="2" width="5.140625" customWidth="1"/>
    <col min="3" max="3" width="33.85546875" customWidth="1"/>
    <col min="4" max="4" width="40.7109375" customWidth="1"/>
    <col min="5" max="5" width="19.28515625" bestFit="1" customWidth="1"/>
    <col min="6" max="6" width="6.140625" customWidth="1"/>
    <col min="7" max="7" width="33.42578125" bestFit="1" customWidth="1"/>
    <col min="8" max="8" width="9.5703125" bestFit="1" customWidth="1"/>
    <col min="9" max="9" width="14.42578125" bestFit="1" customWidth="1"/>
    <col min="10" max="10" width="15.85546875" bestFit="1" customWidth="1"/>
    <col min="11" max="11" width="7.140625" bestFit="1" customWidth="1"/>
    <col min="12" max="12" width="12.85546875" bestFit="1" customWidth="1"/>
    <col min="13" max="13" width="15.42578125" bestFit="1" customWidth="1"/>
    <col min="14" max="14" width="13.7109375" bestFit="1" customWidth="1"/>
    <col min="15" max="15" width="12.85546875" bestFit="1" customWidth="1"/>
    <col min="16" max="16" width="11.28515625" bestFit="1" customWidth="1"/>
    <col min="17" max="17" width="8.28515625" bestFit="1" customWidth="1"/>
    <col min="18" max="18" width="7.85546875" bestFit="1" customWidth="1"/>
    <col min="19" max="19" width="16" bestFit="1" customWidth="1"/>
    <col min="20" max="22" width="17.5703125" bestFit="1" customWidth="1"/>
  </cols>
  <sheetData>
    <row r="1" spans="3:20">
      <c r="L1" s="12"/>
    </row>
    <row r="3" spans="3:20">
      <c r="C3" s="9"/>
      <c r="D3" s="13" t="s">
        <v>0</v>
      </c>
    </row>
    <row r="5" spans="3:20" ht="18">
      <c r="D5" s="1" t="s">
        <v>1</v>
      </c>
      <c r="E5" s="4" t="s">
        <v>2</v>
      </c>
      <c r="G5" s="190" t="s">
        <v>3</v>
      </c>
      <c r="H5" s="190"/>
      <c r="I5" s="190"/>
      <c r="J5" s="190"/>
      <c r="K5" s="190"/>
      <c r="L5" s="190"/>
      <c r="M5" s="190"/>
      <c r="N5" s="190"/>
      <c r="O5" s="190"/>
      <c r="P5" s="190"/>
      <c r="Q5" s="11"/>
    </row>
    <row r="6" spans="3:20">
      <c r="C6" t="s">
        <v>4</v>
      </c>
      <c r="D6" s="4">
        <v>7573.5</v>
      </c>
      <c r="E6" s="4"/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7" t="s">
        <v>13</v>
      </c>
      <c r="P6" s="18" t="s">
        <v>14</v>
      </c>
      <c r="Q6" s="17" t="s">
        <v>15</v>
      </c>
      <c r="R6" s="17" t="s">
        <v>16</v>
      </c>
      <c r="S6" s="17" t="s">
        <v>17</v>
      </c>
      <c r="T6" s="19"/>
    </row>
    <row r="7" spans="3:20">
      <c r="C7" t="s">
        <v>18</v>
      </c>
      <c r="D7" s="4">
        <v>387.89</v>
      </c>
      <c r="E7" s="4"/>
      <c r="G7" s="20" t="s">
        <v>19</v>
      </c>
      <c r="H7" s="21">
        <v>175</v>
      </c>
      <c r="I7" s="22">
        <v>21.99</v>
      </c>
      <c r="J7" s="22">
        <f>+H7*I7</f>
        <v>3848.2499999999995</v>
      </c>
      <c r="K7" s="23">
        <f>+K16/9</f>
        <v>43.098888888888887</v>
      </c>
      <c r="L7" s="23">
        <f>+L16/9</f>
        <v>1.2511111111111111</v>
      </c>
      <c r="M7" s="23">
        <f>+M16/9</f>
        <v>8.8459888888888898</v>
      </c>
      <c r="N7" s="23">
        <f>+J7+K7+L7+M7</f>
        <v>3901.4459888888882</v>
      </c>
      <c r="O7" s="24">
        <v>0.25</v>
      </c>
      <c r="P7" s="25">
        <f t="shared" ref="P7:P15" si="0">+N7*O7</f>
        <v>975.36149722222206</v>
      </c>
      <c r="Q7" s="23">
        <f>+N7*0.5%</f>
        <v>19.507229944444443</v>
      </c>
      <c r="R7" s="23">
        <f>(N7+P7+Q7)*12%</f>
        <v>587.55776592666655</v>
      </c>
      <c r="S7" s="23">
        <f t="shared" ref="S7:S15" si="1">SUM(P7:R7)</f>
        <v>1582.4264930933332</v>
      </c>
      <c r="T7" s="26"/>
    </row>
    <row r="8" spans="3:20">
      <c r="C8" t="s">
        <v>20</v>
      </c>
      <c r="D8" s="4">
        <v>11.26</v>
      </c>
      <c r="E8" s="4"/>
      <c r="G8" s="20" t="s">
        <v>21</v>
      </c>
      <c r="H8" s="21">
        <v>10</v>
      </c>
      <c r="I8" s="22">
        <v>115.65</v>
      </c>
      <c r="J8" s="22">
        <f t="shared" ref="J8:J15" si="2">+H8*I8</f>
        <v>1156.5</v>
      </c>
      <c r="K8" s="23">
        <f>+K16/9</f>
        <v>43.098888888888887</v>
      </c>
      <c r="L8" s="23">
        <f>+L16/9</f>
        <v>1.2511111111111111</v>
      </c>
      <c r="M8" s="23">
        <f>+M16/9</f>
        <v>8.8459888888888898</v>
      </c>
      <c r="N8" s="23">
        <f t="shared" ref="N8:N15" si="3">+J8+K8+L8+M8</f>
        <v>1209.6959888888891</v>
      </c>
      <c r="O8" s="24">
        <v>0</v>
      </c>
      <c r="P8" s="25">
        <f t="shared" si="0"/>
        <v>0</v>
      </c>
      <c r="Q8" s="23">
        <f t="shared" ref="Q8:Q15" si="4">+N8*0.5%</f>
        <v>6.0484799444444457</v>
      </c>
      <c r="R8" s="23">
        <f t="shared" ref="R8:R15" si="5">(N8+P8+Q8)*12%</f>
        <v>145.88933626000002</v>
      </c>
      <c r="S8" s="23">
        <f t="shared" si="1"/>
        <v>151.93781620444446</v>
      </c>
      <c r="T8" s="26"/>
    </row>
    <row r="9" spans="3:20">
      <c r="D9" s="4">
        <f>SUM(D6:D8)</f>
        <v>7972.6500000000005</v>
      </c>
      <c r="E9" s="4"/>
      <c r="G9" s="20" t="s">
        <v>22</v>
      </c>
      <c r="H9" s="21">
        <v>20</v>
      </c>
      <c r="I9" s="22">
        <v>50.41</v>
      </c>
      <c r="J9" s="22">
        <f t="shared" si="2"/>
        <v>1008.1999999999999</v>
      </c>
      <c r="K9" s="23">
        <f>+K16/9</f>
        <v>43.098888888888887</v>
      </c>
      <c r="L9" s="23">
        <f>+L16/9</f>
        <v>1.2511111111111111</v>
      </c>
      <c r="M9" s="23">
        <f>+M16/9</f>
        <v>8.8459888888888898</v>
      </c>
      <c r="N9" s="23">
        <f t="shared" si="3"/>
        <v>1061.395988888889</v>
      </c>
      <c r="O9" s="24">
        <v>0.05</v>
      </c>
      <c r="P9" s="25">
        <f t="shared" si="0"/>
        <v>53.069799444444449</v>
      </c>
      <c r="Q9" s="23">
        <f t="shared" si="4"/>
        <v>5.3069799444444445</v>
      </c>
      <c r="R9" s="23">
        <f t="shared" si="5"/>
        <v>134.37273219333335</v>
      </c>
      <c r="S9" s="23">
        <f t="shared" si="1"/>
        <v>192.74951158222223</v>
      </c>
      <c r="T9" s="26"/>
    </row>
    <row r="10" spans="3:20" ht="19.149999999999999">
      <c r="D10" s="9">
        <f>+D9+C23</f>
        <v>8052.2639000000008</v>
      </c>
      <c r="E10" s="4"/>
      <c r="G10" s="20" t="s">
        <v>23</v>
      </c>
      <c r="H10" s="21">
        <v>3</v>
      </c>
      <c r="I10" s="22">
        <v>41.84</v>
      </c>
      <c r="J10" s="22">
        <f t="shared" si="2"/>
        <v>125.52000000000001</v>
      </c>
      <c r="K10" s="23">
        <f>+K16/9</f>
        <v>43.098888888888887</v>
      </c>
      <c r="L10" s="23">
        <f>+L16/9</f>
        <v>1.2511111111111111</v>
      </c>
      <c r="M10" s="23">
        <f>+M16/9</f>
        <v>8.8459888888888898</v>
      </c>
      <c r="N10" s="23">
        <f t="shared" si="3"/>
        <v>178.71598888888889</v>
      </c>
      <c r="O10" s="24">
        <v>0.05</v>
      </c>
      <c r="P10" s="25">
        <f t="shared" si="0"/>
        <v>8.9357994444444451</v>
      </c>
      <c r="Q10" s="23">
        <f t="shared" si="4"/>
        <v>0.89357994444444444</v>
      </c>
      <c r="R10" s="23">
        <f t="shared" si="5"/>
        <v>22.625444193333333</v>
      </c>
      <c r="S10" s="23">
        <f t="shared" si="1"/>
        <v>32.454823582222225</v>
      </c>
      <c r="T10" s="26"/>
    </row>
    <row r="11" spans="3:20">
      <c r="D11" s="4"/>
      <c r="E11" s="4"/>
      <c r="G11" s="20" t="s">
        <v>24</v>
      </c>
      <c r="H11" s="21">
        <v>5</v>
      </c>
      <c r="I11" s="22">
        <v>22.72</v>
      </c>
      <c r="J11" s="22">
        <f t="shared" si="2"/>
        <v>113.6</v>
      </c>
      <c r="K11" s="23">
        <f>+K16/9</f>
        <v>43.098888888888887</v>
      </c>
      <c r="L11" s="23">
        <f>+L16/9</f>
        <v>1.2511111111111111</v>
      </c>
      <c r="M11" s="23">
        <f>+M16/9</f>
        <v>8.8459888888888898</v>
      </c>
      <c r="N11" s="23">
        <f t="shared" si="3"/>
        <v>166.79598888888887</v>
      </c>
      <c r="O11" s="24">
        <v>0</v>
      </c>
      <c r="P11" s="25">
        <f t="shared" si="0"/>
        <v>0</v>
      </c>
      <c r="Q11" s="23">
        <f t="shared" si="4"/>
        <v>0.83397994444444434</v>
      </c>
      <c r="R11" s="23">
        <f t="shared" si="5"/>
        <v>20.115596259999997</v>
      </c>
      <c r="S11" s="23">
        <f t="shared" si="1"/>
        <v>20.94957620444444</v>
      </c>
      <c r="T11" s="26"/>
    </row>
    <row r="12" spans="3:20">
      <c r="D12" s="4"/>
      <c r="E12" s="4"/>
      <c r="G12" s="20" t="s">
        <v>24</v>
      </c>
      <c r="H12" s="21">
        <v>5</v>
      </c>
      <c r="I12" s="22">
        <v>10.79</v>
      </c>
      <c r="J12" s="22">
        <f t="shared" si="2"/>
        <v>53.949999999999996</v>
      </c>
      <c r="K12" s="23">
        <f>+K16/9</f>
        <v>43.098888888888887</v>
      </c>
      <c r="L12" s="23">
        <f>+L16/9</f>
        <v>1.2511111111111111</v>
      </c>
      <c r="M12" s="23">
        <f>+M16/9</f>
        <v>8.8459888888888898</v>
      </c>
      <c r="N12" s="23">
        <f t="shared" si="3"/>
        <v>107.14598888888889</v>
      </c>
      <c r="O12" s="24">
        <v>0</v>
      </c>
      <c r="P12" s="25">
        <f t="shared" si="0"/>
        <v>0</v>
      </c>
      <c r="Q12" s="23">
        <f t="shared" si="4"/>
        <v>0.53572994444444444</v>
      </c>
      <c r="R12" s="23">
        <f t="shared" si="5"/>
        <v>12.92180626</v>
      </c>
      <c r="S12" s="23">
        <f t="shared" si="1"/>
        <v>13.457536204444445</v>
      </c>
      <c r="T12" s="26"/>
    </row>
    <row r="13" spans="3:20">
      <c r="D13" s="4"/>
      <c r="E13" s="4"/>
      <c r="G13" s="20" t="s">
        <v>25</v>
      </c>
      <c r="H13" s="21">
        <v>100</v>
      </c>
      <c r="I13" s="22">
        <v>0.72</v>
      </c>
      <c r="J13" s="22">
        <f t="shared" si="2"/>
        <v>72</v>
      </c>
      <c r="K13" s="23">
        <f>+K16/9</f>
        <v>43.098888888888887</v>
      </c>
      <c r="L13" s="23">
        <f>+L16/9</f>
        <v>1.2511111111111111</v>
      </c>
      <c r="M13" s="23">
        <f>+M16/9</f>
        <v>8.8459888888888898</v>
      </c>
      <c r="N13" s="23">
        <f>+J13+K13+L13+M13</f>
        <v>125.19598888888891</v>
      </c>
      <c r="O13" s="24">
        <v>0.25</v>
      </c>
      <c r="P13" s="25">
        <f t="shared" si="0"/>
        <v>31.298997222222226</v>
      </c>
      <c r="Q13" s="23">
        <f t="shared" si="4"/>
        <v>0.62597994444444449</v>
      </c>
      <c r="R13" s="23">
        <f t="shared" si="5"/>
        <v>18.854515926666668</v>
      </c>
      <c r="S13" s="23">
        <f t="shared" si="1"/>
        <v>50.779493093333343</v>
      </c>
      <c r="T13" s="26"/>
    </row>
    <row r="14" spans="3:20">
      <c r="D14" s="4"/>
      <c r="E14" s="4"/>
      <c r="G14" s="20" t="s">
        <v>26</v>
      </c>
      <c r="H14" s="21">
        <v>50</v>
      </c>
      <c r="I14" s="22">
        <v>4.7</v>
      </c>
      <c r="J14" s="22">
        <f t="shared" si="2"/>
        <v>235</v>
      </c>
      <c r="K14" s="23">
        <f>+K16/9</f>
        <v>43.098888888888887</v>
      </c>
      <c r="L14" s="23">
        <f>+L16/9</f>
        <v>1.2511111111111111</v>
      </c>
      <c r="M14" s="23">
        <f>+M16/9</f>
        <v>8.8459888888888898</v>
      </c>
      <c r="N14" s="23">
        <f t="shared" si="3"/>
        <v>288.19598888888891</v>
      </c>
      <c r="O14" s="24">
        <v>0.2</v>
      </c>
      <c r="P14" s="25">
        <f t="shared" si="0"/>
        <v>57.639197777777781</v>
      </c>
      <c r="Q14" s="23">
        <f t="shared" si="4"/>
        <v>1.4409799444444447</v>
      </c>
      <c r="R14" s="23">
        <f t="shared" si="5"/>
        <v>41.673139993333336</v>
      </c>
      <c r="S14" s="23">
        <f t="shared" si="1"/>
        <v>100.75331771555557</v>
      </c>
      <c r="T14" s="26"/>
    </row>
    <row r="15" spans="3:20">
      <c r="D15" s="4"/>
      <c r="E15" s="4"/>
      <c r="G15" s="20" t="s">
        <v>27</v>
      </c>
      <c r="H15" s="21">
        <v>58</v>
      </c>
      <c r="I15" s="22">
        <v>16.559999999999999</v>
      </c>
      <c r="J15" s="22">
        <f t="shared" si="2"/>
        <v>960.4799999999999</v>
      </c>
      <c r="K15" s="23">
        <f>+K16/9</f>
        <v>43.098888888888887</v>
      </c>
      <c r="L15" s="23">
        <f>+L16/9</f>
        <v>1.2511111111111111</v>
      </c>
      <c r="M15" s="23">
        <f>+M16/9</f>
        <v>8.8459888888888898</v>
      </c>
      <c r="N15" s="23">
        <f t="shared" si="3"/>
        <v>1013.6759888888887</v>
      </c>
      <c r="O15" s="24">
        <v>0.25</v>
      </c>
      <c r="P15" s="25">
        <f t="shared" si="0"/>
        <v>253.41899722222217</v>
      </c>
      <c r="Q15" s="23">
        <f t="shared" si="4"/>
        <v>5.0683799444444437</v>
      </c>
      <c r="R15" s="23">
        <f t="shared" si="5"/>
        <v>152.65960392666662</v>
      </c>
      <c r="S15" s="23">
        <f t="shared" si="1"/>
        <v>411.14698109333324</v>
      </c>
      <c r="T15" s="26"/>
    </row>
    <row r="16" spans="3:20">
      <c r="C16" s="9"/>
      <c r="D16" s="9"/>
      <c r="E16" s="4"/>
      <c r="G16" s="27"/>
      <c r="H16" s="27"/>
      <c r="I16" s="27"/>
      <c r="J16" s="28">
        <f>SUM(J7:J15)</f>
        <v>7573.5</v>
      </c>
      <c r="K16" s="29">
        <v>387.89</v>
      </c>
      <c r="L16" s="29">
        <v>11.26</v>
      </c>
      <c r="M16" s="29">
        <f>(J16+K16)*1%</f>
        <v>79.613900000000001</v>
      </c>
      <c r="N16" s="29">
        <f>SUM(N7:N15)</f>
        <v>8052.2638999999999</v>
      </c>
      <c r="O16" s="30"/>
      <c r="P16" s="29">
        <f>SUM(P7:P15)</f>
        <v>1379.7242883333329</v>
      </c>
      <c r="Q16" s="29">
        <f>SUM(Q7:Q15)</f>
        <v>40.261319500000006</v>
      </c>
      <c r="R16" s="29">
        <f>SUM(R7:R15)</f>
        <v>1136.6699409400001</v>
      </c>
      <c r="S16" s="31">
        <f>SUM(S7:S15)</f>
        <v>2556.6555487733331</v>
      </c>
      <c r="T16" s="32"/>
    </row>
    <row r="17" spans="3:20">
      <c r="C17" s="4" t="s">
        <v>28</v>
      </c>
      <c r="D17" s="4" t="s">
        <v>29</v>
      </c>
      <c r="E17" s="9"/>
      <c r="G17" s="27"/>
      <c r="H17" s="27"/>
      <c r="I17" s="27"/>
      <c r="J17" s="27"/>
      <c r="K17" s="27"/>
      <c r="L17" s="27"/>
      <c r="M17" s="27"/>
      <c r="N17" s="27"/>
      <c r="O17" s="27"/>
      <c r="P17" s="33">
        <f>1407.56-P16</f>
        <v>27.835711666667066</v>
      </c>
      <c r="Q17" s="34">
        <f>40.27-40.26</f>
        <v>1.0000000000005116E-2</v>
      </c>
      <c r="R17" s="33">
        <f>1140.2-R16</f>
        <v>3.530059059999985</v>
      </c>
      <c r="S17" s="33">
        <f>2588.03-S16</f>
        <v>31.374451226667134</v>
      </c>
      <c r="T17" s="35"/>
    </row>
    <row r="18" spans="3:20">
      <c r="C18" s="9"/>
      <c r="D18" s="10">
        <f>+C18*12%</f>
        <v>0</v>
      </c>
      <c r="E18" s="9"/>
    </row>
    <row r="19" spans="3:20">
      <c r="C19" s="9"/>
      <c r="D19" s="9"/>
      <c r="E19" s="9"/>
    </row>
    <row r="20" spans="3:20">
      <c r="C20" s="1" t="s">
        <v>30</v>
      </c>
      <c r="D20" s="9"/>
    </row>
    <row r="21" spans="3:20">
      <c r="C21" s="1" t="s">
        <v>31</v>
      </c>
    </row>
    <row r="22" spans="3:20">
      <c r="C22" s="9">
        <f>7573.5+387.89+11.26</f>
        <v>7972.6500000000005</v>
      </c>
      <c r="D22" s="9"/>
      <c r="E22" s="2"/>
    </row>
    <row r="23" spans="3:20">
      <c r="C23" s="5">
        <f>(7573.5+387.89)*1%</f>
        <v>79.613900000000001</v>
      </c>
      <c r="D23" s="1" t="s">
        <v>32</v>
      </c>
    </row>
    <row r="24" spans="3:20">
      <c r="C24" s="3">
        <f>SUM(C22:C23)</f>
        <v>8052.2639000000008</v>
      </c>
    </row>
    <row r="25" spans="3:20" ht="43.15">
      <c r="C25" s="8">
        <v>0</v>
      </c>
      <c r="D25" s="7" t="s">
        <v>33</v>
      </c>
    </row>
    <row r="26" spans="3:20">
      <c r="C26" s="6">
        <f>SUM(C24:C25)</f>
        <v>8052.2639000000008</v>
      </c>
    </row>
    <row r="28" spans="3:20" ht="15.6">
      <c r="C28" s="3"/>
      <c r="G28" s="14" t="s">
        <v>34</v>
      </c>
    </row>
    <row r="29" spans="3:20" ht="15.6">
      <c r="G29" s="15" t="s">
        <v>35</v>
      </c>
    </row>
    <row r="30" spans="3:20" ht="15.6">
      <c r="G30" s="15" t="s">
        <v>36</v>
      </c>
    </row>
    <row r="31" spans="3:20" ht="15.6">
      <c r="G31" s="16"/>
    </row>
    <row r="32" spans="3:20" ht="15.6">
      <c r="G32" s="16" t="s">
        <v>37</v>
      </c>
    </row>
    <row r="41" spans="3:4">
      <c r="C41" s="9"/>
      <c r="D41" s="9"/>
    </row>
    <row r="42" spans="3:4">
      <c r="C42" s="9"/>
      <c r="D42" s="9"/>
    </row>
    <row r="43" spans="3:4">
      <c r="C43" s="9"/>
      <c r="D43" s="9"/>
    </row>
    <row r="44" spans="3:4">
      <c r="C44" s="9"/>
      <c r="D44" s="9"/>
    </row>
    <row r="45" spans="3:4">
      <c r="C45" s="9"/>
      <c r="D45" s="9"/>
    </row>
    <row r="46" spans="3:4">
      <c r="C46" s="9"/>
      <c r="D46" s="9"/>
    </row>
    <row r="47" spans="3:4">
      <c r="C47" s="9"/>
      <c r="D47" s="9"/>
    </row>
    <row r="48" spans="3:4">
      <c r="C48" s="9"/>
      <c r="D48" s="9"/>
    </row>
    <row r="49" spans="3:4">
      <c r="D49" s="9"/>
    </row>
    <row r="50" spans="3:4">
      <c r="D50" s="3"/>
    </row>
    <row r="54" spans="3:4">
      <c r="C54" s="9"/>
    </row>
  </sheetData>
  <mergeCells count="1">
    <mergeCell ref="G5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P99"/>
  <sheetViews>
    <sheetView topLeftCell="D73" workbookViewId="0">
      <selection activeCell="P83" sqref="P83"/>
    </sheetView>
  </sheetViews>
  <sheetFormatPr defaultColWidth="11.42578125" defaultRowHeight="14.45"/>
  <cols>
    <col min="1" max="1" width="4" customWidth="1"/>
    <col min="2" max="2" width="6.140625" customWidth="1"/>
    <col min="3" max="3" width="45.7109375" customWidth="1"/>
    <col min="4" max="4" width="9.5703125" bestFit="1" customWidth="1"/>
    <col min="5" max="5" width="14.42578125" bestFit="1" customWidth="1"/>
    <col min="6" max="6" width="15.85546875" bestFit="1" customWidth="1"/>
    <col min="7" max="7" width="9.5703125" bestFit="1" customWidth="1"/>
    <col min="8" max="8" width="13" bestFit="1" customWidth="1"/>
    <col min="9" max="9" width="15.42578125" bestFit="1" customWidth="1"/>
    <col min="10" max="10" width="13.7109375" bestFit="1" customWidth="1"/>
    <col min="11" max="11" width="12.85546875" bestFit="1" customWidth="1"/>
    <col min="12" max="12" width="11.5703125" bestFit="1" customWidth="1"/>
    <col min="13" max="13" width="8.28515625" bestFit="1" customWidth="1"/>
    <col min="14" max="14" width="9.28515625" bestFit="1" customWidth="1"/>
    <col min="15" max="15" width="16" bestFit="1" customWidth="1"/>
    <col min="16" max="18" width="17.5703125" bestFit="1" customWidth="1"/>
  </cols>
  <sheetData>
    <row r="1" spans="3:16">
      <c r="H1" s="12"/>
    </row>
    <row r="3" spans="3:16">
      <c r="F3" s="13" t="s">
        <v>38</v>
      </c>
      <c r="G3" s="46"/>
      <c r="H3" s="46"/>
    </row>
    <row r="5" spans="3:16" ht="18">
      <c r="C5" s="190" t="s">
        <v>3</v>
      </c>
      <c r="D5" s="190"/>
      <c r="E5" s="190"/>
      <c r="F5" s="190"/>
      <c r="G5" s="190"/>
      <c r="H5" s="190"/>
      <c r="I5" s="190"/>
      <c r="J5" s="190"/>
      <c r="K5" s="190"/>
      <c r="L5" s="190"/>
      <c r="M5" s="11"/>
    </row>
    <row r="6" spans="3:16">
      <c r="C6" s="17" t="s">
        <v>5</v>
      </c>
      <c r="D6" s="17" t="s">
        <v>6</v>
      </c>
      <c r="E6" s="17" t="s">
        <v>7</v>
      </c>
      <c r="F6" s="17" t="s">
        <v>8</v>
      </c>
      <c r="G6" s="17" t="s">
        <v>9</v>
      </c>
      <c r="H6" s="17" t="s">
        <v>10</v>
      </c>
      <c r="I6" s="17" t="s">
        <v>39</v>
      </c>
      <c r="J6" s="17" t="s">
        <v>12</v>
      </c>
      <c r="K6" s="17" t="s">
        <v>13</v>
      </c>
      <c r="L6" s="18" t="s">
        <v>14</v>
      </c>
      <c r="M6" s="17" t="s">
        <v>15</v>
      </c>
      <c r="N6" s="17" t="s">
        <v>16</v>
      </c>
      <c r="O6" s="17" t="s">
        <v>17</v>
      </c>
      <c r="P6" s="19"/>
    </row>
    <row r="7" spans="3:16" ht="15.6">
      <c r="C7" s="45" t="s">
        <v>40</v>
      </c>
      <c r="D7" s="39">
        <v>20</v>
      </c>
      <c r="E7" s="39">
        <v>353.13</v>
      </c>
      <c r="F7" s="22">
        <f>+D7*E7</f>
        <v>7062.6</v>
      </c>
      <c r="G7" s="36">
        <f>+G82/F82*F7</f>
        <v>149.32579263782932</v>
      </c>
      <c r="H7" s="36">
        <f>+$H$82/$G$82*G7</f>
        <v>10.159572878450653</v>
      </c>
      <c r="I7" s="36">
        <f>+I82/H82*H7</f>
        <v>21.635653804932637</v>
      </c>
      <c r="J7" s="23">
        <f>+F7+G7+H7+I7</f>
        <v>7243.7210193212122</v>
      </c>
      <c r="K7" s="42">
        <v>0.05</v>
      </c>
      <c r="L7" s="25">
        <f>+J7*K7</f>
        <v>362.18605096606063</v>
      </c>
      <c r="M7" s="23">
        <f>+J7*0.5%</f>
        <v>36.218605096606062</v>
      </c>
      <c r="N7" s="23">
        <f t="shared" ref="N7:N16" si="0">(J7+L7+M7)*12%</f>
        <v>917.05508104606542</v>
      </c>
      <c r="O7" s="23">
        <f t="shared" ref="O7:O26" si="1">SUM(L7:N7)</f>
        <v>1315.459737108732</v>
      </c>
      <c r="P7" s="19"/>
    </row>
    <row r="8" spans="3:16" ht="15.6">
      <c r="C8" s="45" t="s">
        <v>41</v>
      </c>
      <c r="D8" s="39">
        <v>20</v>
      </c>
      <c r="E8" s="39">
        <v>386.57</v>
      </c>
      <c r="F8" s="22">
        <f t="shared" ref="F8:F72" si="2">+D8*E8</f>
        <v>7731.4</v>
      </c>
      <c r="G8" s="36">
        <f>+G82/F82*F8</f>
        <v>163.46634854021374</v>
      </c>
      <c r="H8" s="36">
        <f t="shared" ref="H8:H72" si="3">+$H$82/$G$82*G8</f>
        <v>11.121643835478913</v>
      </c>
      <c r="I8" s="36">
        <f>+I82/H82*H8</f>
        <v>23.684463770772261</v>
      </c>
      <c r="J8" s="23">
        <f t="shared" ref="J8:J72" si="4">+F8+G8+H8+I8</f>
        <v>7929.6724561464644</v>
      </c>
      <c r="K8" s="42">
        <v>0.05</v>
      </c>
      <c r="L8" s="25">
        <f t="shared" ref="L8:L72" si="5">+J8*K8</f>
        <v>396.48362280732323</v>
      </c>
      <c r="M8" s="23">
        <f t="shared" ref="M8:M72" si="6">+J8*0.5%</f>
        <v>39.648362280732321</v>
      </c>
      <c r="N8" s="23">
        <f t="shared" si="0"/>
        <v>1003.8965329481422</v>
      </c>
      <c r="O8" s="23">
        <f t="shared" si="1"/>
        <v>1440.0285180361977</v>
      </c>
      <c r="P8" s="19"/>
    </row>
    <row r="9" spans="3:16" ht="15.6">
      <c r="C9" s="45" t="s">
        <v>42</v>
      </c>
      <c r="D9" s="39">
        <v>15</v>
      </c>
      <c r="E9" s="39">
        <v>108.84</v>
      </c>
      <c r="F9" s="22">
        <f t="shared" si="2"/>
        <v>1632.6000000000001</v>
      </c>
      <c r="G9" s="36">
        <f>+G82/F82*F9</f>
        <v>34.518348633721317</v>
      </c>
      <c r="H9" s="36">
        <f t="shared" si="3"/>
        <v>2.3485003654969185</v>
      </c>
      <c r="I9" s="36">
        <f>+I82/H82*H9</f>
        <v>5.0013264806067204</v>
      </c>
      <c r="J9" s="23">
        <f t="shared" si="4"/>
        <v>1674.468175479825</v>
      </c>
      <c r="K9" s="42">
        <v>0.05</v>
      </c>
      <c r="L9" s="25">
        <f t="shared" si="5"/>
        <v>83.723408773991252</v>
      </c>
      <c r="M9" s="23">
        <f t="shared" si="6"/>
        <v>8.3723408773991252</v>
      </c>
      <c r="N9" s="23">
        <f t="shared" si="0"/>
        <v>211.98767101574586</v>
      </c>
      <c r="O9" s="23">
        <f t="shared" si="1"/>
        <v>304.08342066713624</v>
      </c>
      <c r="P9" s="19"/>
    </row>
    <row r="10" spans="3:16" ht="15.6">
      <c r="C10" s="45" t="s">
        <v>43</v>
      </c>
      <c r="D10" s="39">
        <v>10</v>
      </c>
      <c r="E10" s="39">
        <v>116.74</v>
      </c>
      <c r="F10" s="22">
        <f t="shared" si="2"/>
        <v>1167.3999999999999</v>
      </c>
      <c r="G10" s="36">
        <f>+G82/F82*F10</f>
        <v>24.682543302098651</v>
      </c>
      <c r="H10" s="36">
        <f t="shared" si="3"/>
        <v>1.6793086651237916</v>
      </c>
      <c r="I10" s="36">
        <f>+I82/H82*H10</f>
        <v>3.5762272041285583</v>
      </c>
      <c r="J10" s="23">
        <f t="shared" si="4"/>
        <v>1197.3380791713507</v>
      </c>
      <c r="K10" s="42">
        <v>0.05</v>
      </c>
      <c r="L10" s="25">
        <f t="shared" si="5"/>
        <v>59.866903958567541</v>
      </c>
      <c r="M10" s="23">
        <f t="shared" si="6"/>
        <v>5.9866903958567539</v>
      </c>
      <c r="N10" s="23">
        <f t="shared" si="0"/>
        <v>151.58300082309299</v>
      </c>
      <c r="O10" s="23">
        <f t="shared" si="1"/>
        <v>217.43659517751729</v>
      </c>
      <c r="P10" s="19"/>
    </row>
    <row r="11" spans="3:16" ht="15.6">
      <c r="C11" s="45" t="s">
        <v>44</v>
      </c>
      <c r="D11" s="39">
        <v>6</v>
      </c>
      <c r="E11" s="39">
        <v>581.44000000000005</v>
      </c>
      <c r="F11" s="22">
        <f t="shared" si="2"/>
        <v>3488.6400000000003</v>
      </c>
      <c r="G11" s="36">
        <f>+G82/F82*F11</f>
        <v>73.760928443921074</v>
      </c>
      <c r="H11" s="36">
        <f t="shared" si="3"/>
        <v>5.0184198916373708</v>
      </c>
      <c r="I11" s="36">
        <f>+I82/H82*H11</f>
        <v>10.687141745255319</v>
      </c>
      <c r="J11" s="23">
        <f t="shared" si="4"/>
        <v>3578.1064900808137</v>
      </c>
      <c r="K11" s="42">
        <v>0.2</v>
      </c>
      <c r="L11" s="25">
        <f t="shared" si="5"/>
        <v>715.62129801616277</v>
      </c>
      <c r="M11" s="23">
        <f t="shared" si="6"/>
        <v>17.89053245040407</v>
      </c>
      <c r="N11" s="23">
        <f t="shared" si="0"/>
        <v>517.39419846568569</v>
      </c>
      <c r="O11" s="23">
        <f t="shared" si="1"/>
        <v>1250.9060289322524</v>
      </c>
      <c r="P11" s="19"/>
    </row>
    <row r="12" spans="3:16" ht="15.6">
      <c r="C12" s="45" t="s">
        <v>45</v>
      </c>
      <c r="D12" s="39">
        <v>4</v>
      </c>
      <c r="E12" s="39">
        <v>74.5</v>
      </c>
      <c r="F12" s="22">
        <f t="shared" si="2"/>
        <v>298</v>
      </c>
      <c r="G12" s="36">
        <f>+G82/F82*F12</f>
        <v>6.3006663560265537</v>
      </c>
      <c r="H12" s="36">
        <f t="shared" si="3"/>
        <v>0.42867396111606132</v>
      </c>
      <c r="I12" s="36">
        <f>+I82/H82*H12</f>
        <v>0.91289678501825477</v>
      </c>
      <c r="J12" s="23">
        <f t="shared" si="4"/>
        <v>305.64223710216089</v>
      </c>
      <c r="K12" s="42">
        <v>0</v>
      </c>
      <c r="L12" s="25">
        <f t="shared" si="5"/>
        <v>0</v>
      </c>
      <c r="M12" s="23">
        <f t="shared" si="6"/>
        <v>1.5282111855108045</v>
      </c>
      <c r="N12" s="23">
        <f t="shared" si="0"/>
        <v>36.860453794520602</v>
      </c>
      <c r="O12" s="23">
        <f t="shared" si="1"/>
        <v>38.388664980031407</v>
      </c>
      <c r="P12" s="19"/>
    </row>
    <row r="13" spans="3:16" ht="15.6">
      <c r="C13" s="45" t="s">
        <v>46</v>
      </c>
      <c r="D13" s="39">
        <v>2</v>
      </c>
      <c r="E13" s="39">
        <v>43.34</v>
      </c>
      <c r="F13" s="22">
        <f t="shared" si="2"/>
        <v>86.68</v>
      </c>
      <c r="G13" s="36">
        <f>+G82/F82*F13</f>
        <v>1.8326904689274555</v>
      </c>
      <c r="H13" s="36">
        <f t="shared" si="3"/>
        <v>0.12468945956221543</v>
      </c>
      <c r="I13" s="36">
        <f>+I82/H82*H13</f>
        <v>0.26553655478316218</v>
      </c>
      <c r="J13" s="23">
        <f t="shared" si="4"/>
        <v>88.902916483272847</v>
      </c>
      <c r="K13" s="42">
        <v>0</v>
      </c>
      <c r="L13" s="25">
        <f t="shared" si="5"/>
        <v>0</v>
      </c>
      <c r="M13" s="23">
        <f t="shared" si="6"/>
        <v>0.44451458241636427</v>
      </c>
      <c r="N13" s="23">
        <f t="shared" si="0"/>
        <v>10.721691727882705</v>
      </c>
      <c r="O13" s="23">
        <f t="shared" si="1"/>
        <v>11.166206310299069</v>
      </c>
      <c r="P13" s="19"/>
    </row>
    <row r="14" spans="3:16" ht="15.6">
      <c r="C14" s="45" t="s">
        <v>47</v>
      </c>
      <c r="D14" s="39">
        <v>6</v>
      </c>
      <c r="E14" s="39">
        <v>168.53</v>
      </c>
      <c r="F14" s="22">
        <f t="shared" si="2"/>
        <v>1011.1800000000001</v>
      </c>
      <c r="G14" s="38">
        <f>+G82/F82*F14</f>
        <v>21.379556395593728</v>
      </c>
      <c r="H14" s="36">
        <f t="shared" si="3"/>
        <v>1.4545856912796606</v>
      </c>
      <c r="I14" s="36">
        <f>+I82/H82*H14</f>
        <v>3.0976609767609355</v>
      </c>
      <c r="J14" s="23">
        <f t="shared" si="4"/>
        <v>1037.1118030636342</v>
      </c>
      <c r="K14" s="42">
        <v>0.05</v>
      </c>
      <c r="L14" s="25">
        <f t="shared" si="5"/>
        <v>51.855590153181709</v>
      </c>
      <c r="M14" s="23">
        <f t="shared" si="6"/>
        <v>5.1855590153181712</v>
      </c>
      <c r="N14" s="23">
        <f t="shared" si="0"/>
        <v>131.2983542678561</v>
      </c>
      <c r="O14" s="23">
        <f t="shared" si="1"/>
        <v>188.33950343635598</v>
      </c>
      <c r="P14" s="19"/>
    </row>
    <row r="15" spans="3:16" ht="15.6">
      <c r="C15" s="45" t="s">
        <v>48</v>
      </c>
      <c r="D15" s="39">
        <v>2</v>
      </c>
      <c r="E15" s="39">
        <v>2099.36</v>
      </c>
      <c r="F15" s="22">
        <f t="shared" si="2"/>
        <v>4198.72</v>
      </c>
      <c r="G15" s="36">
        <f>+G82/F82*F15</f>
        <v>88.774274638845014</v>
      </c>
      <c r="H15" s="36">
        <f t="shared" si="3"/>
        <v>6.039872261802782</v>
      </c>
      <c r="I15" s="36">
        <f>+I82/H82*H15</f>
        <v>12.862409359704184</v>
      </c>
      <c r="J15" s="23">
        <f t="shared" si="4"/>
        <v>4306.3965562603526</v>
      </c>
      <c r="K15" s="42">
        <v>0.2</v>
      </c>
      <c r="L15" s="25">
        <f t="shared" si="5"/>
        <v>861.27931125207056</v>
      </c>
      <c r="M15" s="23">
        <f t="shared" si="6"/>
        <v>21.531982781301764</v>
      </c>
      <c r="N15" s="23">
        <f t="shared" si="0"/>
        <v>622.70494203524697</v>
      </c>
      <c r="O15" s="23">
        <f t="shared" si="1"/>
        <v>1505.5162360686193</v>
      </c>
      <c r="P15" s="19"/>
    </row>
    <row r="16" spans="3:16" ht="15.6">
      <c r="C16" s="45" t="s">
        <v>49</v>
      </c>
      <c r="D16" s="39">
        <v>2</v>
      </c>
      <c r="E16" s="39">
        <v>515.12</v>
      </c>
      <c r="F16" s="22">
        <f t="shared" si="2"/>
        <v>1030.24</v>
      </c>
      <c r="G16" s="38">
        <f>+$G82/$F82*$F16</f>
        <v>21.78254532427113</v>
      </c>
      <c r="H16" s="36">
        <f t="shared" si="3"/>
        <v>1.482003562752386</v>
      </c>
      <c r="I16" s="36">
        <f>+I82/H82*H16</f>
        <v>3.1560496100577411</v>
      </c>
      <c r="J16" s="23">
        <f t="shared" si="4"/>
        <v>1056.6605984970813</v>
      </c>
      <c r="K16" s="42">
        <v>0.05</v>
      </c>
      <c r="L16" s="25">
        <f t="shared" si="5"/>
        <v>52.833029924854067</v>
      </c>
      <c r="M16" s="23">
        <f t="shared" si="6"/>
        <v>5.2833029924854067</v>
      </c>
      <c r="N16" s="23">
        <f t="shared" si="0"/>
        <v>133.7732317697305</v>
      </c>
      <c r="O16" s="23">
        <f t="shared" si="1"/>
        <v>191.88956468706999</v>
      </c>
      <c r="P16" s="19"/>
    </row>
    <row r="17" spans="3:16" ht="15.6">
      <c r="C17" s="45" t="s">
        <v>50</v>
      </c>
      <c r="D17" s="39">
        <v>2</v>
      </c>
      <c r="E17" s="39">
        <v>178.07</v>
      </c>
      <c r="F17" s="22">
        <f t="shared" si="2"/>
        <v>356.14</v>
      </c>
      <c r="G17" s="38">
        <f>+G82/F82*F17</f>
        <v>7.5299305907224729</v>
      </c>
      <c r="H17" s="36">
        <f t="shared" si="3"/>
        <v>0.51230853863044989</v>
      </c>
      <c r="I17" s="36">
        <f>+I82/H82*H17</f>
        <v>1.0910035604577222</v>
      </c>
      <c r="J17" s="23">
        <f t="shared" si="4"/>
        <v>365.27324268981067</v>
      </c>
      <c r="K17" s="42">
        <v>0</v>
      </c>
      <c r="L17" s="25">
        <f t="shared" si="5"/>
        <v>0</v>
      </c>
      <c r="M17" s="23">
        <f t="shared" si="6"/>
        <v>1.8263662134490535</v>
      </c>
      <c r="N17" s="23">
        <f t="shared" ref="N17:N72" si="7">(J17+L17+M17)*12%</f>
        <v>44.051953068391164</v>
      </c>
      <c r="O17" s="23">
        <f t="shared" si="1"/>
        <v>45.87831928184022</v>
      </c>
      <c r="P17" s="19"/>
    </row>
    <row r="18" spans="3:16" ht="15.6">
      <c r="C18" s="45" t="s">
        <v>51</v>
      </c>
      <c r="D18" s="39">
        <v>2</v>
      </c>
      <c r="E18" s="39">
        <v>201.27</v>
      </c>
      <c r="F18" s="22">
        <f t="shared" si="2"/>
        <v>402.54</v>
      </c>
      <c r="G18" s="38">
        <f>+G82/F82*F18</f>
        <v>8.5109739428017761</v>
      </c>
      <c r="H18" s="36">
        <f>+$H$82/$G$82*G18</f>
        <v>0.57905508828073604</v>
      </c>
      <c r="I18" s="36">
        <f>+I82/H82*H18</f>
        <v>1.2331458786619072</v>
      </c>
      <c r="J18" s="23">
        <f>+F18+G18+H18+I18</f>
        <v>412.86317490974443</v>
      </c>
      <c r="K18" s="43">
        <v>0.05</v>
      </c>
      <c r="L18" s="25">
        <f>+J18*K18</f>
        <v>20.643158745487224</v>
      </c>
      <c r="M18" s="23">
        <f>+J18*0.5%</f>
        <v>2.064315874548722</v>
      </c>
      <c r="N18" s="23">
        <f>(J18+L18+M18)*12%</f>
        <v>52.268477943573636</v>
      </c>
      <c r="O18" s="23">
        <f t="shared" si="1"/>
        <v>74.975952563609582</v>
      </c>
      <c r="P18" s="19"/>
    </row>
    <row r="19" spans="3:16" ht="15.6">
      <c r="C19" s="45" t="s">
        <v>52</v>
      </c>
      <c r="D19" s="39">
        <v>4</v>
      </c>
      <c r="E19" s="39">
        <v>334.33</v>
      </c>
      <c r="F19" s="22">
        <f t="shared" si="2"/>
        <v>1337.32</v>
      </c>
      <c r="G19" s="36">
        <f>+G82/F82*F19</f>
        <v>28.275191715575271</v>
      </c>
      <c r="H19" s="36">
        <f t="shared" si="3"/>
        <v>1.9237391331534601</v>
      </c>
      <c r="I19" s="36">
        <f>+I82/H82*H19</f>
        <v>4.0967621763107802</v>
      </c>
      <c r="J19" s="23">
        <f t="shared" si="4"/>
        <v>1371.6156930250395</v>
      </c>
      <c r="K19" s="42">
        <v>0.05</v>
      </c>
      <c r="L19" s="25">
        <f t="shared" si="5"/>
        <v>68.580784651251975</v>
      </c>
      <c r="M19" s="23">
        <f t="shared" si="6"/>
        <v>6.8580784651251978</v>
      </c>
      <c r="N19" s="23">
        <f t="shared" si="7"/>
        <v>173.64654673697001</v>
      </c>
      <c r="O19" s="23">
        <f t="shared" si="1"/>
        <v>249.08540985334719</v>
      </c>
      <c r="P19" s="19"/>
    </row>
    <row r="20" spans="3:16" ht="15.6">
      <c r="C20" s="45" t="s">
        <v>53</v>
      </c>
      <c r="D20" s="39">
        <v>957</v>
      </c>
      <c r="E20" s="39">
        <v>189.75</v>
      </c>
      <c r="F20" s="22">
        <f t="shared" si="2"/>
        <v>181590.75</v>
      </c>
      <c r="G20" s="36">
        <f>+G82/F82*F20</f>
        <v>3839.405131176607</v>
      </c>
      <c r="H20" s="36">
        <f t="shared" si="3"/>
        <v>261.21887954542422</v>
      </c>
      <c r="I20" s="36">
        <f>+I82/H82*H20</f>
        <v>556.28728813440819</v>
      </c>
      <c r="J20" s="23">
        <f t="shared" si="4"/>
        <v>186247.66129885643</v>
      </c>
      <c r="K20" s="42">
        <v>0.15</v>
      </c>
      <c r="L20" s="25">
        <f t="shared" si="5"/>
        <v>27937.149194828464</v>
      </c>
      <c r="M20" s="23">
        <f t="shared" si="6"/>
        <v>931.23830649428214</v>
      </c>
      <c r="N20" s="23">
        <f t="shared" si="7"/>
        <v>25813.925856021502</v>
      </c>
      <c r="O20" s="23">
        <f t="shared" si="1"/>
        <v>54682.313357344246</v>
      </c>
      <c r="P20" s="19"/>
    </row>
    <row r="21" spans="3:16" ht="15.6">
      <c r="C21" s="45" t="s">
        <v>54</v>
      </c>
      <c r="D21" s="39">
        <v>6</v>
      </c>
      <c r="E21" s="39">
        <v>286.18</v>
      </c>
      <c r="F21" s="22">
        <f t="shared" si="2"/>
        <v>1717.08</v>
      </c>
      <c r="G21" s="36">
        <f>+G82/F82*F21</f>
        <v>36.304524116127766</v>
      </c>
      <c r="H21" s="36">
        <f t="shared" si="3"/>
        <v>2.4700251179636461</v>
      </c>
      <c r="I21" s="36">
        <f>+I82/H82*H21</f>
        <v>5.2601235289233044</v>
      </c>
      <c r="J21" s="23">
        <f t="shared" si="4"/>
        <v>1761.1146727630146</v>
      </c>
      <c r="K21" s="42">
        <v>0.15</v>
      </c>
      <c r="L21" s="25">
        <f t="shared" si="5"/>
        <v>264.16720091445217</v>
      </c>
      <c r="M21" s="23">
        <f t="shared" si="6"/>
        <v>8.8055733638150731</v>
      </c>
      <c r="N21" s="23">
        <f t="shared" si="7"/>
        <v>244.09049364495382</v>
      </c>
      <c r="O21" s="23">
        <f t="shared" si="1"/>
        <v>517.06326792322102</v>
      </c>
      <c r="P21" s="19"/>
    </row>
    <row r="22" spans="3:16" ht="15.6">
      <c r="C22" s="45" t="s">
        <v>55</v>
      </c>
      <c r="D22" s="39">
        <v>5</v>
      </c>
      <c r="E22" s="39">
        <v>27.78</v>
      </c>
      <c r="F22" s="22">
        <f t="shared" si="2"/>
        <v>138.9</v>
      </c>
      <c r="G22" s="36">
        <f>+G82/F82*F22</f>
        <v>2.9367871035304978</v>
      </c>
      <c r="H22" s="36">
        <f t="shared" si="3"/>
        <v>0.19980809798329166</v>
      </c>
      <c r="I22" s="36">
        <f>+I82/H82*H22</f>
        <v>0.42550793100347511</v>
      </c>
      <c r="J22" s="23">
        <f t="shared" si="4"/>
        <v>142.46210313251726</v>
      </c>
      <c r="K22" s="42">
        <v>0.15</v>
      </c>
      <c r="L22" s="25">
        <f t="shared" si="5"/>
        <v>21.369315469877588</v>
      </c>
      <c r="M22" s="23">
        <f t="shared" si="6"/>
        <v>0.7123105156625863</v>
      </c>
      <c r="N22" s="23">
        <f t="shared" si="7"/>
        <v>19.74524749416689</v>
      </c>
      <c r="O22" s="23">
        <f t="shared" si="1"/>
        <v>41.826873479707061</v>
      </c>
      <c r="P22" s="19"/>
    </row>
    <row r="23" spans="3:16" ht="15.6">
      <c r="C23" s="45" t="s">
        <v>56</v>
      </c>
      <c r="D23" s="39">
        <v>5</v>
      </c>
      <c r="E23" s="39">
        <v>69.23</v>
      </c>
      <c r="F23" s="22">
        <f t="shared" si="2"/>
        <v>346.15000000000003</v>
      </c>
      <c r="G23" s="36">
        <f>+G82/F82*F23</f>
        <v>7.3187102655657448</v>
      </c>
      <c r="H23" s="36">
        <f t="shared" si="3"/>
        <v>0.49793789141048539</v>
      </c>
      <c r="I23" s="36">
        <f>+I82/H82*H23</f>
        <v>1.0604000742753992</v>
      </c>
      <c r="J23" s="23">
        <f t="shared" si="4"/>
        <v>355.02704823125163</v>
      </c>
      <c r="K23" s="42">
        <v>0.15</v>
      </c>
      <c r="L23" s="25">
        <f t="shared" si="5"/>
        <v>53.254057234687743</v>
      </c>
      <c r="M23" s="23">
        <f t="shared" si="6"/>
        <v>1.7751352411562582</v>
      </c>
      <c r="N23" s="23">
        <f t="shared" si="7"/>
        <v>49.206748884851478</v>
      </c>
      <c r="O23" s="23">
        <f t="shared" si="1"/>
        <v>104.23594136069548</v>
      </c>
      <c r="P23" s="19"/>
    </row>
    <row r="24" spans="3:16" ht="15.6">
      <c r="C24" s="45" t="s">
        <v>57</v>
      </c>
      <c r="D24" s="39">
        <v>8</v>
      </c>
      <c r="E24" s="39">
        <v>115.65</v>
      </c>
      <c r="F24" s="22">
        <f t="shared" si="2"/>
        <v>925.2</v>
      </c>
      <c r="G24" s="36">
        <f>+G82/F82*F24</f>
        <v>19.561666149650229</v>
      </c>
      <c r="H24" s="36">
        <f t="shared" si="3"/>
        <v>1.3309031839751007</v>
      </c>
      <c r="I24" s="36">
        <f>+I82/H82*H24</f>
        <v>2.8342688103989579</v>
      </c>
      <c r="J24" s="23">
        <f t="shared" si="4"/>
        <v>948.92683814402437</v>
      </c>
      <c r="K24" s="42">
        <v>0</v>
      </c>
      <c r="L24" s="25">
        <f t="shared" si="5"/>
        <v>0</v>
      </c>
      <c r="M24" s="23">
        <f t="shared" si="6"/>
        <v>4.7446341907201219</v>
      </c>
      <c r="N24" s="23">
        <f t="shared" si="7"/>
        <v>114.44057668016934</v>
      </c>
      <c r="O24" s="23">
        <f t="shared" si="1"/>
        <v>119.18521087088946</v>
      </c>
      <c r="P24" s="19"/>
    </row>
    <row r="25" spans="3:16" ht="15.6">
      <c r="C25" s="45" t="s">
        <v>58</v>
      </c>
      <c r="D25" s="39">
        <v>5</v>
      </c>
      <c r="E25" s="40">
        <v>222.56</v>
      </c>
      <c r="F25" s="22">
        <f t="shared" si="2"/>
        <v>1112.8</v>
      </c>
      <c r="G25" s="36">
        <f>+G82/F82*F25</f>
        <v>23.528125909350166</v>
      </c>
      <c r="H25" s="36">
        <f t="shared" si="3"/>
        <v>1.6007663890266881</v>
      </c>
      <c r="I25" s="36">
        <f>+I82/H82*H25</f>
        <v>3.4089649072762214</v>
      </c>
      <c r="J25" s="23">
        <f t="shared" si="4"/>
        <v>1141.3378572056529</v>
      </c>
      <c r="K25" s="42">
        <v>0</v>
      </c>
      <c r="L25" s="25">
        <f t="shared" si="5"/>
        <v>0</v>
      </c>
      <c r="M25" s="23">
        <f t="shared" si="6"/>
        <v>5.7066892860282641</v>
      </c>
      <c r="N25" s="23">
        <f t="shared" si="7"/>
        <v>137.64534557900174</v>
      </c>
      <c r="O25" s="23">
        <f t="shared" si="1"/>
        <v>143.35203486502999</v>
      </c>
      <c r="P25" s="19"/>
    </row>
    <row r="26" spans="3:16" ht="15.6">
      <c r="C26" s="45" t="s">
        <v>59</v>
      </c>
      <c r="D26" s="39">
        <v>18</v>
      </c>
      <c r="E26" s="40">
        <v>3.09</v>
      </c>
      <c r="F26" s="22">
        <f t="shared" si="2"/>
        <v>55.62</v>
      </c>
      <c r="G26" s="38">
        <f>+G82/F82*F26</f>
        <v>1.1759834319536808</v>
      </c>
      <c r="H26" s="36">
        <f t="shared" si="3"/>
        <v>8.0009549386829956E-2</v>
      </c>
      <c r="I26" s="36">
        <f>+I82/H82*H26</f>
        <v>0.17038697712320577</v>
      </c>
      <c r="J26" s="23">
        <f t="shared" si="4"/>
        <v>57.046379958463717</v>
      </c>
      <c r="K26" s="42">
        <v>0.05</v>
      </c>
      <c r="L26" s="25">
        <f t="shared" si="5"/>
        <v>2.8523189979231862</v>
      </c>
      <c r="M26" s="23">
        <f t="shared" si="6"/>
        <v>0.28523189979231861</v>
      </c>
      <c r="N26" s="23">
        <f t="shared" si="7"/>
        <v>7.2220717027415064</v>
      </c>
      <c r="O26" s="23">
        <f t="shared" si="1"/>
        <v>10.359622600457012</v>
      </c>
      <c r="P26" s="19"/>
    </row>
    <row r="27" spans="3:16" ht="15.6">
      <c r="C27" s="45" t="s">
        <v>60</v>
      </c>
      <c r="D27" s="39">
        <v>75</v>
      </c>
      <c r="E27" s="40">
        <v>3.09</v>
      </c>
      <c r="F27" s="22">
        <f t="shared" si="2"/>
        <v>231.75</v>
      </c>
      <c r="G27" s="36">
        <f>+G82/F82*F27</f>
        <v>4.8999309664736703</v>
      </c>
      <c r="H27" s="36">
        <f t="shared" si="3"/>
        <v>0.33337312244512485</v>
      </c>
      <c r="I27" s="36">
        <f>+I82/H82*H27</f>
        <v>0.70994573801335747</v>
      </c>
      <c r="J27" s="23">
        <f t="shared" si="4"/>
        <v>237.69324982693215</v>
      </c>
      <c r="K27" s="42">
        <v>0.05</v>
      </c>
      <c r="L27" s="25">
        <f t="shared" si="5"/>
        <v>11.884662491346608</v>
      </c>
      <c r="M27" s="23">
        <f t="shared" si="6"/>
        <v>1.1884662491346607</v>
      </c>
      <c r="N27" s="23">
        <f t="shared" si="7"/>
        <v>30.091965428089608</v>
      </c>
      <c r="O27" s="23">
        <f t="shared" ref="O27:O72" si="8">SUM(L27:N27)</f>
        <v>43.165094168570874</v>
      </c>
      <c r="P27" s="19"/>
    </row>
    <row r="28" spans="3:16" ht="15.6">
      <c r="C28" s="45" t="s">
        <v>61</v>
      </c>
      <c r="D28" s="39">
        <v>1</v>
      </c>
      <c r="E28" s="40">
        <v>726.8</v>
      </c>
      <c r="F28" s="22">
        <f t="shared" si="2"/>
        <v>726.8</v>
      </c>
      <c r="G28" s="36">
        <f>+G82/F82*F28</f>
        <v>15.366860092483554</v>
      </c>
      <c r="H28" s="36">
        <f t="shared" si="3"/>
        <v>1.0455041440911186</v>
      </c>
      <c r="I28" s="36">
        <f>+I82/H82*H28</f>
        <v>2.2264878635948575</v>
      </c>
      <c r="J28" s="23">
        <f t="shared" si="4"/>
        <v>745.43885210016947</v>
      </c>
      <c r="K28" s="42">
        <v>0.25</v>
      </c>
      <c r="L28" s="25">
        <f t="shared" si="5"/>
        <v>186.35971302504237</v>
      </c>
      <c r="M28" s="23">
        <f t="shared" si="6"/>
        <v>3.7271942605008475</v>
      </c>
      <c r="N28" s="23">
        <f t="shared" si="7"/>
        <v>112.2630911262855</v>
      </c>
      <c r="O28" s="23">
        <f t="shared" si="8"/>
        <v>302.34999841182872</v>
      </c>
      <c r="P28" s="19"/>
    </row>
    <row r="29" spans="3:16" ht="15.6">
      <c r="C29" s="45" t="s">
        <v>62</v>
      </c>
      <c r="D29" s="39">
        <v>10</v>
      </c>
      <c r="E29" s="40">
        <v>145.36000000000001</v>
      </c>
      <c r="F29" s="22">
        <f t="shared" si="2"/>
        <v>1453.6000000000001</v>
      </c>
      <c r="G29" s="36">
        <f>+G82/F82*F29</f>
        <v>30.733720184967112</v>
      </c>
      <c r="H29" s="36">
        <f t="shared" si="3"/>
        <v>2.0910082881822376</v>
      </c>
      <c r="I29" s="36">
        <f t="shared" ref="I29:I60" si="9">+$I$82/$H$82*H29</f>
        <v>4.4529757271897159</v>
      </c>
      <c r="J29" s="23">
        <f t="shared" si="4"/>
        <v>1490.8777042003392</v>
      </c>
      <c r="K29" s="42">
        <v>0.2</v>
      </c>
      <c r="L29" s="25">
        <f t="shared" si="5"/>
        <v>298.17554084006787</v>
      </c>
      <c r="M29" s="23">
        <f t="shared" si="6"/>
        <v>7.4543885210016958</v>
      </c>
      <c r="N29" s="23">
        <f t="shared" si="7"/>
        <v>215.58091602736903</v>
      </c>
      <c r="O29" s="23">
        <f t="shared" si="8"/>
        <v>521.21084538843866</v>
      </c>
      <c r="P29" s="19"/>
    </row>
    <row r="30" spans="3:16" ht="15.6">
      <c r="C30" s="45" t="s">
        <v>63</v>
      </c>
      <c r="D30" s="39">
        <v>2</v>
      </c>
      <c r="E30" s="40">
        <v>204.38</v>
      </c>
      <c r="F30" s="22">
        <f t="shared" si="2"/>
        <v>408.76</v>
      </c>
      <c r="G30" s="36">
        <f t="shared" ref="G30:G61" si="10">+$G$82/$F$82*F30</f>
        <v>8.6424844956020603</v>
      </c>
      <c r="H30" s="36">
        <f t="shared" si="3"/>
        <v>0.58800257834161485</v>
      </c>
      <c r="I30" s="36">
        <f t="shared" si="9"/>
        <v>1.2522003014901404</v>
      </c>
      <c r="J30" s="23">
        <f t="shared" si="4"/>
        <v>419.24268737543377</v>
      </c>
      <c r="K30" s="42">
        <v>0.05</v>
      </c>
      <c r="L30" s="25">
        <f t="shared" si="5"/>
        <v>20.962134368771689</v>
      </c>
      <c r="M30" s="23">
        <f t="shared" si="6"/>
        <v>2.0962134368771688</v>
      </c>
      <c r="N30" s="23">
        <f t="shared" si="7"/>
        <v>53.076124221729913</v>
      </c>
      <c r="O30" s="23">
        <f t="shared" si="8"/>
        <v>76.134472027378763</v>
      </c>
      <c r="P30" s="19"/>
    </row>
    <row r="31" spans="3:16" ht="15.6">
      <c r="C31" s="45" t="s">
        <v>64</v>
      </c>
      <c r="D31" s="39">
        <v>1</v>
      </c>
      <c r="E31" s="40">
        <v>113.56</v>
      </c>
      <c r="F31" s="22">
        <f t="shared" si="2"/>
        <v>113.56</v>
      </c>
      <c r="G31" s="36">
        <f t="shared" si="10"/>
        <v>2.4010190315113271</v>
      </c>
      <c r="H31" s="36">
        <f t="shared" si="3"/>
        <v>0.16335642625617425</v>
      </c>
      <c r="I31" s="36">
        <f t="shared" si="9"/>
        <v>0.34788107015662084</v>
      </c>
      <c r="J31" s="23">
        <f t="shared" si="4"/>
        <v>116.47225652792412</v>
      </c>
      <c r="K31" s="42">
        <v>0.2</v>
      </c>
      <c r="L31" s="25">
        <f t="shared" si="5"/>
        <v>23.294451305584825</v>
      </c>
      <c r="M31" s="23">
        <f t="shared" si="6"/>
        <v>0.58236128263962061</v>
      </c>
      <c r="N31" s="23">
        <f t="shared" si="7"/>
        <v>16.841888293937828</v>
      </c>
      <c r="O31" s="23">
        <f t="shared" si="8"/>
        <v>40.718700882162274</v>
      </c>
      <c r="P31" s="19"/>
    </row>
    <row r="32" spans="3:16" ht="15.6">
      <c r="C32" s="45" t="s">
        <v>65</v>
      </c>
      <c r="D32" s="39">
        <v>4</v>
      </c>
      <c r="E32" s="40">
        <v>637.88</v>
      </c>
      <c r="F32" s="22">
        <f t="shared" si="2"/>
        <v>2551.52</v>
      </c>
      <c r="G32" s="36">
        <f t="shared" si="10"/>
        <v>53.947235640029774</v>
      </c>
      <c r="H32" s="36">
        <f t="shared" si="3"/>
        <v>3.6703697492176266</v>
      </c>
      <c r="I32" s="36">
        <f t="shared" si="9"/>
        <v>7.8163570634556283</v>
      </c>
      <c r="J32" s="23">
        <f t="shared" si="4"/>
        <v>2616.9539624527029</v>
      </c>
      <c r="K32" s="42">
        <v>0.1</v>
      </c>
      <c r="L32" s="25">
        <f t="shared" si="5"/>
        <v>261.69539624527027</v>
      </c>
      <c r="M32" s="23">
        <f t="shared" si="6"/>
        <v>13.084769812263515</v>
      </c>
      <c r="N32" s="23">
        <f t="shared" si="7"/>
        <v>347.0080954212284</v>
      </c>
      <c r="O32" s="23">
        <f t="shared" si="8"/>
        <v>621.78826147876225</v>
      </c>
      <c r="P32" s="19"/>
    </row>
    <row r="33" spans="3:16" ht="15.6">
      <c r="C33" s="45" t="s">
        <v>66</v>
      </c>
      <c r="D33" s="39">
        <v>5</v>
      </c>
      <c r="E33" s="40">
        <v>262.02999999999997</v>
      </c>
      <c r="F33" s="22">
        <f t="shared" si="2"/>
        <v>1310.1499999999999</v>
      </c>
      <c r="G33" s="36">
        <f t="shared" si="10"/>
        <v>27.700731632040902</v>
      </c>
      <c r="H33" s="36">
        <f t="shared" si="3"/>
        <v>1.8846550005241869</v>
      </c>
      <c r="I33" s="36">
        <f t="shared" si="9"/>
        <v>4.0135292714485447</v>
      </c>
      <c r="J33" s="23">
        <f t="shared" si="4"/>
        <v>1343.7489159040135</v>
      </c>
      <c r="K33" s="42">
        <v>0.25</v>
      </c>
      <c r="L33" s="25">
        <f t="shared" si="5"/>
        <v>335.93722897600338</v>
      </c>
      <c r="M33" s="23">
        <f t="shared" si="6"/>
        <v>6.7187445795200675</v>
      </c>
      <c r="N33" s="23">
        <f t="shared" si="7"/>
        <v>202.36858673514442</v>
      </c>
      <c r="O33" s="23">
        <f t="shared" si="8"/>
        <v>545.02456029066786</v>
      </c>
      <c r="P33" s="19"/>
    </row>
    <row r="34" spans="3:16" ht="15.6">
      <c r="C34" s="45" t="s">
        <v>67</v>
      </c>
      <c r="D34" s="39">
        <v>15</v>
      </c>
      <c r="E34" s="40">
        <v>1.98</v>
      </c>
      <c r="F34" s="22">
        <f t="shared" si="2"/>
        <v>29.7</v>
      </c>
      <c r="G34" s="36">
        <f t="shared" si="10"/>
        <v>0.62795231803351892</v>
      </c>
      <c r="H34" s="36">
        <f t="shared" si="3"/>
        <v>4.272354578908396E-2</v>
      </c>
      <c r="I34" s="36">
        <f t="shared" si="9"/>
        <v>9.0983337298799205E-2</v>
      </c>
      <c r="J34" s="23">
        <f t="shared" si="4"/>
        <v>30.4616592011214</v>
      </c>
      <c r="K34" s="42">
        <v>0.05</v>
      </c>
      <c r="L34" s="25">
        <f t="shared" si="5"/>
        <v>1.52308296005607</v>
      </c>
      <c r="M34" s="23">
        <f t="shared" si="6"/>
        <v>0.152308296005607</v>
      </c>
      <c r="N34" s="23">
        <f t="shared" si="7"/>
        <v>3.8564460548619683</v>
      </c>
      <c r="O34" s="23">
        <f t="shared" si="8"/>
        <v>5.5318373109236454</v>
      </c>
      <c r="P34" s="19"/>
    </row>
    <row r="35" spans="3:16" ht="15.6">
      <c r="C35" s="45" t="s">
        <v>68</v>
      </c>
      <c r="D35" s="39">
        <v>25</v>
      </c>
      <c r="E35" s="40">
        <v>0.74</v>
      </c>
      <c r="F35" s="22">
        <f t="shared" si="2"/>
        <v>18.5</v>
      </c>
      <c r="G35" s="36">
        <f t="shared" si="10"/>
        <v>0.3911487502902391</v>
      </c>
      <c r="H35" s="36">
        <f t="shared" si="3"/>
        <v>2.6612309666601122E-2</v>
      </c>
      <c r="I35" s="36">
        <f t="shared" si="9"/>
        <v>5.6673122559858097E-2</v>
      </c>
      <c r="J35" s="23">
        <f t="shared" si="4"/>
        <v>18.974434182516696</v>
      </c>
      <c r="K35" s="42">
        <v>0.05</v>
      </c>
      <c r="L35" s="25">
        <f t="shared" si="5"/>
        <v>0.94872170912583487</v>
      </c>
      <c r="M35" s="23">
        <f t="shared" si="6"/>
        <v>9.4872170912583487E-2</v>
      </c>
      <c r="N35" s="23">
        <f t="shared" si="7"/>
        <v>2.4021633675066134</v>
      </c>
      <c r="O35" s="23">
        <f t="shared" si="8"/>
        <v>3.445757247545032</v>
      </c>
      <c r="P35" s="19"/>
    </row>
    <row r="36" spans="3:16" ht="15.6">
      <c r="C36" s="45" t="s">
        <v>69</v>
      </c>
      <c r="D36" s="39">
        <v>25</v>
      </c>
      <c r="E36" s="40">
        <v>1.53</v>
      </c>
      <c r="F36" s="22">
        <f t="shared" si="2"/>
        <v>38.25</v>
      </c>
      <c r="G36" s="36">
        <f t="shared" si="10"/>
        <v>0.80872647019468347</v>
      </c>
      <c r="H36" s="36">
        <f t="shared" si="3"/>
        <v>5.5022748364729347E-2</v>
      </c>
      <c r="I36" s="36">
        <f t="shared" si="9"/>
        <v>0.11717551015754445</v>
      </c>
      <c r="J36" s="23">
        <f t="shared" si="4"/>
        <v>39.230924728716957</v>
      </c>
      <c r="K36" s="42">
        <v>0.05</v>
      </c>
      <c r="L36" s="25">
        <f t="shared" si="5"/>
        <v>1.961546236435848</v>
      </c>
      <c r="M36" s="23">
        <f t="shared" si="6"/>
        <v>0.1961546236435848</v>
      </c>
      <c r="N36" s="23">
        <f t="shared" si="7"/>
        <v>4.9666350706555669</v>
      </c>
      <c r="O36" s="23">
        <f t="shared" si="8"/>
        <v>7.1243359307349996</v>
      </c>
      <c r="P36" s="19"/>
    </row>
    <row r="37" spans="3:16" ht="15.6">
      <c r="C37" s="45" t="s">
        <v>70</v>
      </c>
      <c r="D37" s="39">
        <v>25</v>
      </c>
      <c r="E37" s="40">
        <v>3.21</v>
      </c>
      <c r="F37" s="22">
        <f t="shared" si="2"/>
        <v>80.25</v>
      </c>
      <c r="G37" s="36">
        <f t="shared" si="10"/>
        <v>1.6967398492319832</v>
      </c>
      <c r="H37" s="36">
        <f t="shared" si="3"/>
        <v>0.11543988382404001</v>
      </c>
      <c r="I37" s="36">
        <f t="shared" si="9"/>
        <v>0.24583881542857366</v>
      </c>
      <c r="J37" s="23">
        <f t="shared" si="4"/>
        <v>82.308018548484597</v>
      </c>
      <c r="K37" s="42">
        <v>0.05</v>
      </c>
      <c r="L37" s="25">
        <f t="shared" si="5"/>
        <v>4.11540092742423</v>
      </c>
      <c r="M37" s="23">
        <f t="shared" si="6"/>
        <v>0.41154009274242298</v>
      </c>
      <c r="N37" s="23">
        <f t="shared" si="7"/>
        <v>10.42019514823815</v>
      </c>
      <c r="O37" s="23">
        <f t="shared" si="8"/>
        <v>14.947136168404803</v>
      </c>
      <c r="P37" s="19"/>
    </row>
    <row r="38" spans="3:16" ht="15.6">
      <c r="C38" s="45" t="s">
        <v>71</v>
      </c>
      <c r="D38" s="39">
        <v>25</v>
      </c>
      <c r="E38" s="40">
        <v>1.7</v>
      </c>
      <c r="F38" s="22">
        <f t="shared" si="2"/>
        <v>42.5</v>
      </c>
      <c r="G38" s="36">
        <f t="shared" si="10"/>
        <v>0.89858496688298173</v>
      </c>
      <c r="H38" s="36">
        <f t="shared" si="3"/>
        <v>6.1136387071921504E-2</v>
      </c>
      <c r="I38" s="36">
        <f t="shared" si="9"/>
        <v>0.13019501128616051</v>
      </c>
      <c r="J38" s="23">
        <f t="shared" si="4"/>
        <v>43.589916365241059</v>
      </c>
      <c r="K38" s="42">
        <v>0.05</v>
      </c>
      <c r="L38" s="25">
        <f t="shared" si="5"/>
        <v>2.179495818262053</v>
      </c>
      <c r="M38" s="23">
        <f t="shared" si="6"/>
        <v>0.2179495818262053</v>
      </c>
      <c r="N38" s="23">
        <f t="shared" si="7"/>
        <v>5.5184834118395178</v>
      </c>
      <c r="O38" s="23">
        <f t="shared" si="8"/>
        <v>7.9159288119277758</v>
      </c>
      <c r="P38" s="19"/>
    </row>
    <row r="39" spans="3:16" ht="15.6">
      <c r="C39" s="45" t="s">
        <v>72</v>
      </c>
      <c r="D39" s="39">
        <v>50</v>
      </c>
      <c r="E39" s="40">
        <v>3.32</v>
      </c>
      <c r="F39" s="22">
        <f t="shared" si="2"/>
        <v>166</v>
      </c>
      <c r="G39" s="36">
        <f t="shared" si="10"/>
        <v>3.5097671647664694</v>
      </c>
      <c r="H39" s="36">
        <f t="shared" si="3"/>
        <v>0.23879153538679926</v>
      </c>
      <c r="I39" s="36">
        <f t="shared" si="9"/>
        <v>0.50852639702359159</v>
      </c>
      <c r="J39" s="23">
        <f t="shared" si="4"/>
        <v>170.25708509717686</v>
      </c>
      <c r="K39" s="42">
        <v>0.05</v>
      </c>
      <c r="L39" s="25">
        <f t="shared" si="5"/>
        <v>8.5128542548588424</v>
      </c>
      <c r="M39" s="23">
        <f t="shared" si="6"/>
        <v>0.85128542548588426</v>
      </c>
      <c r="N39" s="23">
        <f t="shared" si="7"/>
        <v>21.554546973302589</v>
      </c>
      <c r="O39" s="23">
        <f t="shared" si="8"/>
        <v>30.918686653647313</v>
      </c>
      <c r="P39" s="19"/>
    </row>
    <row r="40" spans="3:16" ht="15.6">
      <c r="C40" s="45" t="s">
        <v>73</v>
      </c>
      <c r="D40" s="39">
        <v>25</v>
      </c>
      <c r="E40" s="40">
        <v>1.84</v>
      </c>
      <c r="F40" s="22">
        <f t="shared" si="2"/>
        <v>46</v>
      </c>
      <c r="G40" s="36">
        <f t="shared" si="10"/>
        <v>0.97258608180275663</v>
      </c>
      <c r="H40" s="36">
        <f t="shared" si="3"/>
        <v>6.6171148360197385E-2</v>
      </c>
      <c r="I40" s="36">
        <f t="shared" si="9"/>
        <v>0.1409169533920796</v>
      </c>
      <c r="J40" s="23">
        <f t="shared" si="4"/>
        <v>47.179674183555036</v>
      </c>
      <c r="K40" s="42">
        <v>0.05</v>
      </c>
      <c r="L40" s="25">
        <f t="shared" si="5"/>
        <v>2.3589837091777519</v>
      </c>
      <c r="M40" s="23">
        <f t="shared" si="6"/>
        <v>0.23589837091777519</v>
      </c>
      <c r="N40" s="23">
        <f t="shared" si="7"/>
        <v>5.9729467516380668</v>
      </c>
      <c r="O40" s="23">
        <f t="shared" si="8"/>
        <v>8.5678288317335944</v>
      </c>
      <c r="P40" s="19"/>
    </row>
    <row r="41" spans="3:16" ht="15.6">
      <c r="C41" s="45" t="s">
        <v>74</v>
      </c>
      <c r="D41" s="39">
        <v>25</v>
      </c>
      <c r="E41" s="40">
        <v>2.0499999999999998</v>
      </c>
      <c r="F41" s="22">
        <f t="shared" si="2"/>
        <v>51.249999999999993</v>
      </c>
      <c r="G41" s="36">
        <f t="shared" si="10"/>
        <v>1.083587754182419</v>
      </c>
      <c r="H41" s="36">
        <f t="shared" si="3"/>
        <v>7.372329029261121E-2</v>
      </c>
      <c r="I41" s="36">
        <f t="shared" si="9"/>
        <v>0.15699986655095824</v>
      </c>
      <c r="J41" s="23">
        <f t="shared" si="4"/>
        <v>52.564310911025984</v>
      </c>
      <c r="K41" s="42">
        <v>0.05</v>
      </c>
      <c r="L41" s="25">
        <f t="shared" si="5"/>
        <v>2.6282155455512992</v>
      </c>
      <c r="M41" s="23">
        <f t="shared" si="6"/>
        <v>0.2628215545551299</v>
      </c>
      <c r="N41" s="23">
        <f t="shared" si="7"/>
        <v>6.6546417613358892</v>
      </c>
      <c r="O41" s="23">
        <f t="shared" si="8"/>
        <v>9.5456788614423189</v>
      </c>
      <c r="P41" s="26"/>
    </row>
    <row r="42" spans="3:16" ht="15.6">
      <c r="C42" s="45" t="s">
        <v>75</v>
      </c>
      <c r="D42" s="39">
        <v>40</v>
      </c>
      <c r="E42" s="40">
        <v>1.3</v>
      </c>
      <c r="F42" s="22">
        <f t="shared" si="2"/>
        <v>52</v>
      </c>
      <c r="G42" s="36">
        <f t="shared" si="10"/>
        <v>1.0994451359509423</v>
      </c>
      <c r="H42" s="36">
        <f t="shared" si="3"/>
        <v>7.4802167711527479E-2</v>
      </c>
      <c r="I42" s="36">
        <f t="shared" si="9"/>
        <v>0.1592974255736552</v>
      </c>
      <c r="J42" s="23">
        <f t="shared" si="4"/>
        <v>53.333544729236124</v>
      </c>
      <c r="K42" s="42">
        <v>0.05</v>
      </c>
      <c r="L42" s="25">
        <f t="shared" si="5"/>
        <v>2.6666772364618065</v>
      </c>
      <c r="M42" s="23">
        <f t="shared" si="6"/>
        <v>0.26666772364618063</v>
      </c>
      <c r="N42" s="23">
        <f t="shared" si="7"/>
        <v>6.7520267627212931</v>
      </c>
      <c r="O42" s="23">
        <f t="shared" si="8"/>
        <v>9.6853717228292808</v>
      </c>
      <c r="P42" s="26"/>
    </row>
    <row r="43" spans="3:16" ht="15.6">
      <c r="C43" s="45" t="s">
        <v>76</v>
      </c>
      <c r="D43" s="39">
        <v>100</v>
      </c>
      <c r="E43" s="40">
        <v>2.35</v>
      </c>
      <c r="F43" s="22">
        <f t="shared" si="2"/>
        <v>235</v>
      </c>
      <c r="G43" s="36">
        <f t="shared" si="10"/>
        <v>4.9686462874706043</v>
      </c>
      <c r="H43" s="36">
        <f t="shared" si="3"/>
        <v>0.33804825792709531</v>
      </c>
      <c r="I43" s="36">
        <f t="shared" si="9"/>
        <v>0.71990182711171091</v>
      </c>
      <c r="J43" s="23">
        <f t="shared" si="4"/>
        <v>241.02659637250937</v>
      </c>
      <c r="K43" s="42">
        <v>0.05</v>
      </c>
      <c r="L43" s="25">
        <f t="shared" si="5"/>
        <v>12.051329818625469</v>
      </c>
      <c r="M43" s="23">
        <f t="shared" si="6"/>
        <v>1.2051329818625469</v>
      </c>
      <c r="N43" s="23">
        <f t="shared" si="7"/>
        <v>30.513967100759686</v>
      </c>
      <c r="O43" s="23">
        <f t="shared" si="8"/>
        <v>43.770429901247702</v>
      </c>
      <c r="P43" s="26"/>
    </row>
    <row r="44" spans="3:16" ht="15.6">
      <c r="C44" s="45" t="s">
        <v>77</v>
      </c>
      <c r="D44" s="39">
        <v>25</v>
      </c>
      <c r="E44" s="40">
        <v>1.54</v>
      </c>
      <c r="F44" s="22">
        <f t="shared" si="2"/>
        <v>38.5</v>
      </c>
      <c r="G44" s="36">
        <f t="shared" si="10"/>
        <v>0.81401226411752459</v>
      </c>
      <c r="H44" s="36">
        <f t="shared" si="3"/>
        <v>5.5382374171034768E-2</v>
      </c>
      <c r="I44" s="36">
        <f t="shared" si="9"/>
        <v>0.1179413631651101</v>
      </c>
      <c r="J44" s="23">
        <f t="shared" si="4"/>
        <v>39.487336001453663</v>
      </c>
      <c r="K44" s="42">
        <v>0.05</v>
      </c>
      <c r="L44" s="25">
        <f t="shared" si="5"/>
        <v>1.9743668000726833</v>
      </c>
      <c r="M44" s="23">
        <f t="shared" si="6"/>
        <v>0.19743668000726833</v>
      </c>
      <c r="N44" s="23">
        <f t="shared" si="7"/>
        <v>4.9990967377840336</v>
      </c>
      <c r="O44" s="23">
        <f t="shared" si="8"/>
        <v>7.1709002178639851</v>
      </c>
      <c r="P44" s="26"/>
    </row>
    <row r="45" spans="3:16" ht="15.6">
      <c r="C45" s="45" t="s">
        <v>78</v>
      </c>
      <c r="D45" s="39">
        <v>25</v>
      </c>
      <c r="E45" s="40">
        <v>2.4</v>
      </c>
      <c r="F45" s="22">
        <f t="shared" si="2"/>
        <v>60</v>
      </c>
      <c r="G45" s="36">
        <f t="shared" si="10"/>
        <v>1.2685905414818566</v>
      </c>
      <c r="H45" s="36">
        <f t="shared" si="3"/>
        <v>8.6310193513300937E-2</v>
      </c>
      <c r="I45" s="36">
        <f t="shared" si="9"/>
        <v>0.18380472181575599</v>
      </c>
      <c r="J45" s="23">
        <f t="shared" si="4"/>
        <v>61.538705456810909</v>
      </c>
      <c r="K45" s="42">
        <v>0.05</v>
      </c>
      <c r="L45" s="25">
        <f t="shared" si="5"/>
        <v>3.0769352728405455</v>
      </c>
      <c r="M45" s="23">
        <f t="shared" si="6"/>
        <v>0.30769352728405458</v>
      </c>
      <c r="N45" s="23">
        <f t="shared" si="7"/>
        <v>7.7908001108322615</v>
      </c>
      <c r="O45" s="23">
        <f t="shared" si="8"/>
        <v>11.175428910956862</v>
      </c>
      <c r="P45" s="26"/>
    </row>
    <row r="46" spans="3:16" ht="15.6">
      <c r="C46" s="45" t="s">
        <v>79</v>
      </c>
      <c r="D46" s="39">
        <v>30</v>
      </c>
      <c r="E46" s="40">
        <v>1.1200000000000001</v>
      </c>
      <c r="F46" s="22">
        <f t="shared" si="2"/>
        <v>33.6</v>
      </c>
      <c r="G46" s="36">
        <f t="shared" si="10"/>
        <v>0.71041070322983968</v>
      </c>
      <c r="H46" s="36">
        <f t="shared" si="3"/>
        <v>4.8333708367448526E-2</v>
      </c>
      <c r="I46" s="36">
        <f t="shared" si="9"/>
        <v>0.10293064421682335</v>
      </c>
      <c r="J46" s="23">
        <f t="shared" si="4"/>
        <v>34.461675055814119</v>
      </c>
      <c r="K46" s="42">
        <v>0.05</v>
      </c>
      <c r="L46" s="25">
        <f t="shared" si="5"/>
        <v>1.7230837527907061</v>
      </c>
      <c r="M46" s="23">
        <f t="shared" si="6"/>
        <v>0.17230837527907059</v>
      </c>
      <c r="N46" s="23">
        <f t="shared" si="7"/>
        <v>4.3628480620660675</v>
      </c>
      <c r="O46" s="23">
        <f t="shared" si="8"/>
        <v>6.2582401901358438</v>
      </c>
      <c r="P46" s="26"/>
    </row>
    <row r="47" spans="3:16" ht="15.6">
      <c r="C47" s="45" t="s">
        <v>80</v>
      </c>
      <c r="D47" s="39">
        <v>10</v>
      </c>
      <c r="E47" s="40">
        <v>3.34</v>
      </c>
      <c r="F47" s="22">
        <f t="shared" si="2"/>
        <v>33.4</v>
      </c>
      <c r="G47" s="36">
        <f t="shared" si="10"/>
        <v>0.70618206809156681</v>
      </c>
      <c r="H47" s="36">
        <f t="shared" si="3"/>
        <v>4.8046007722404194E-2</v>
      </c>
      <c r="I47" s="36">
        <f t="shared" si="9"/>
        <v>0.10231796181077085</v>
      </c>
      <c r="J47" s="23">
        <f t="shared" si="4"/>
        <v>34.256546037624737</v>
      </c>
      <c r="K47" s="42">
        <v>0.05</v>
      </c>
      <c r="L47" s="25">
        <f t="shared" si="5"/>
        <v>1.712827301881237</v>
      </c>
      <c r="M47" s="23">
        <f t="shared" si="6"/>
        <v>0.17128273018812368</v>
      </c>
      <c r="N47" s="23">
        <f t="shared" si="7"/>
        <v>4.336878728363291</v>
      </c>
      <c r="O47" s="23">
        <f t="shared" si="8"/>
        <v>6.2209887604326521</v>
      </c>
      <c r="P47" s="26"/>
    </row>
    <row r="48" spans="3:16" ht="15.6">
      <c r="C48" s="45" t="s">
        <v>81</v>
      </c>
      <c r="D48" s="39">
        <v>25</v>
      </c>
      <c r="E48" s="40">
        <v>1.83</v>
      </c>
      <c r="F48" s="22">
        <f t="shared" si="2"/>
        <v>45.75</v>
      </c>
      <c r="G48" s="36">
        <f t="shared" si="10"/>
        <v>0.96730028787991562</v>
      </c>
      <c r="H48" s="36">
        <f t="shared" si="3"/>
        <v>6.5811522553891971E-2</v>
      </c>
      <c r="I48" s="36">
        <f t="shared" si="9"/>
        <v>0.14015110038451395</v>
      </c>
      <c r="J48" s="23">
        <f t="shared" si="4"/>
        <v>46.923262910818323</v>
      </c>
      <c r="K48" s="42">
        <v>0.05</v>
      </c>
      <c r="L48" s="25">
        <f t="shared" si="5"/>
        <v>2.3461631455409164</v>
      </c>
      <c r="M48" s="23">
        <f t="shared" si="6"/>
        <v>0.23461631455409163</v>
      </c>
      <c r="N48" s="23">
        <f t="shared" si="7"/>
        <v>5.9404850845095991</v>
      </c>
      <c r="O48" s="23">
        <f t="shared" si="8"/>
        <v>8.5212645446046071</v>
      </c>
      <c r="P48" s="26"/>
    </row>
    <row r="49" spans="3:16" ht="15.6">
      <c r="C49" s="45" t="s">
        <v>72</v>
      </c>
      <c r="D49" s="39">
        <v>25</v>
      </c>
      <c r="E49" s="40">
        <v>3.32</v>
      </c>
      <c r="F49" s="22">
        <f t="shared" si="2"/>
        <v>83</v>
      </c>
      <c r="G49" s="36">
        <f t="shared" si="10"/>
        <v>1.7548835823832347</v>
      </c>
      <c r="H49" s="36">
        <f t="shared" si="3"/>
        <v>0.11939576769339963</v>
      </c>
      <c r="I49" s="36">
        <f t="shared" si="9"/>
        <v>0.2542631985117958</v>
      </c>
      <c r="J49" s="23">
        <f t="shared" si="4"/>
        <v>85.128542548588428</v>
      </c>
      <c r="K49" s="42">
        <v>0.05</v>
      </c>
      <c r="L49" s="25">
        <f t="shared" si="5"/>
        <v>4.2564271274294212</v>
      </c>
      <c r="M49" s="23">
        <f t="shared" si="6"/>
        <v>0.42564271274294213</v>
      </c>
      <c r="N49" s="23">
        <f t="shared" si="7"/>
        <v>10.777273486651294</v>
      </c>
      <c r="O49" s="23">
        <f t="shared" si="8"/>
        <v>15.459343326823657</v>
      </c>
      <c r="P49" s="26"/>
    </row>
    <row r="50" spans="3:16" ht="15.6">
      <c r="C50" s="45" t="s">
        <v>82</v>
      </c>
      <c r="D50" s="39">
        <v>25</v>
      </c>
      <c r="E50" s="40">
        <v>2.04</v>
      </c>
      <c r="F50" s="22">
        <f t="shared" si="2"/>
        <v>51</v>
      </c>
      <c r="G50" s="36">
        <f t="shared" si="10"/>
        <v>1.078301960259578</v>
      </c>
      <c r="H50" s="36">
        <f t="shared" si="3"/>
        <v>7.3363664486305796E-2</v>
      </c>
      <c r="I50" s="36">
        <f t="shared" si="9"/>
        <v>0.15623401354339259</v>
      </c>
      <c r="J50" s="23">
        <f t="shared" si="4"/>
        <v>52.307899638289278</v>
      </c>
      <c r="K50" s="42">
        <v>0.05</v>
      </c>
      <c r="L50" s="25">
        <f t="shared" si="5"/>
        <v>2.6153949819144642</v>
      </c>
      <c r="M50" s="23">
        <f t="shared" si="6"/>
        <v>0.2615394981914464</v>
      </c>
      <c r="N50" s="23">
        <f t="shared" si="7"/>
        <v>6.6221800942074225</v>
      </c>
      <c r="O50" s="23">
        <f t="shared" si="8"/>
        <v>9.4991145743133334</v>
      </c>
      <c r="P50" s="26"/>
    </row>
    <row r="51" spans="3:16" ht="15.6">
      <c r="C51" s="45" t="s">
        <v>83</v>
      </c>
      <c r="D51" s="39">
        <v>25</v>
      </c>
      <c r="E51" s="40">
        <v>3.42</v>
      </c>
      <c r="F51" s="22">
        <f t="shared" si="2"/>
        <v>85.5</v>
      </c>
      <c r="G51" s="36">
        <f t="shared" si="10"/>
        <v>1.8077415216116455</v>
      </c>
      <c r="H51" s="36">
        <f t="shared" si="3"/>
        <v>0.12299202575645383</v>
      </c>
      <c r="I51" s="36">
        <f t="shared" si="9"/>
        <v>0.26192172858745227</v>
      </c>
      <c r="J51" s="23">
        <f t="shared" si="4"/>
        <v>87.692655275955559</v>
      </c>
      <c r="K51" s="42">
        <v>0.05</v>
      </c>
      <c r="L51" s="25">
        <f t="shared" si="5"/>
        <v>4.3846327637977778</v>
      </c>
      <c r="M51" s="23">
        <f t="shared" si="6"/>
        <v>0.43846327637977778</v>
      </c>
      <c r="N51" s="23">
        <f t="shared" si="7"/>
        <v>11.101890157935975</v>
      </c>
      <c r="O51" s="23">
        <f t="shared" si="8"/>
        <v>15.92498619811353</v>
      </c>
      <c r="P51" s="26"/>
    </row>
    <row r="52" spans="3:16" ht="15.6">
      <c r="C52" s="45" t="s">
        <v>84</v>
      </c>
      <c r="D52" s="39">
        <v>25</v>
      </c>
      <c r="E52" s="22">
        <v>1.31</v>
      </c>
      <c r="F52" s="22">
        <f t="shared" si="2"/>
        <v>32.75</v>
      </c>
      <c r="G52" s="36">
        <f t="shared" si="10"/>
        <v>0.69243900389218005</v>
      </c>
      <c r="H52" s="36">
        <f t="shared" si="3"/>
        <v>4.7110980626010102E-2</v>
      </c>
      <c r="I52" s="36">
        <f t="shared" si="9"/>
        <v>0.10032674399110016</v>
      </c>
      <c r="J52" s="23">
        <f t="shared" si="4"/>
        <v>33.589876728509289</v>
      </c>
      <c r="K52" s="42">
        <v>0.05</v>
      </c>
      <c r="L52" s="25">
        <f t="shared" si="5"/>
        <v>1.6794938364254646</v>
      </c>
      <c r="M52" s="23">
        <f t="shared" si="6"/>
        <v>0.16794938364254644</v>
      </c>
      <c r="N52" s="23">
        <f t="shared" si="7"/>
        <v>4.2524783938292758</v>
      </c>
      <c r="O52" s="23">
        <f t="shared" si="8"/>
        <v>6.0999216138972869</v>
      </c>
      <c r="P52" s="26"/>
    </row>
    <row r="53" spans="3:16" ht="15.6">
      <c r="C53" s="45" t="s">
        <v>85</v>
      </c>
      <c r="D53" s="39">
        <v>30</v>
      </c>
      <c r="E53" s="22">
        <v>5.27</v>
      </c>
      <c r="F53" s="22">
        <f t="shared" si="2"/>
        <v>158.1</v>
      </c>
      <c r="G53" s="36">
        <f t="shared" si="10"/>
        <v>3.3427360768046919</v>
      </c>
      <c r="H53" s="36">
        <f t="shared" si="3"/>
        <v>0.22742735990754798</v>
      </c>
      <c r="I53" s="36">
        <f t="shared" si="9"/>
        <v>0.48432544198451705</v>
      </c>
      <c r="J53" s="23">
        <f t="shared" si="4"/>
        <v>162.15448887869675</v>
      </c>
      <c r="K53" s="42">
        <v>0.05</v>
      </c>
      <c r="L53" s="25">
        <f t="shared" si="5"/>
        <v>8.1077244439348384</v>
      </c>
      <c r="M53" s="23">
        <f t="shared" si="6"/>
        <v>0.81077244439348384</v>
      </c>
      <c r="N53" s="23">
        <f t="shared" si="7"/>
        <v>20.528758292043008</v>
      </c>
      <c r="O53" s="23">
        <f t="shared" si="8"/>
        <v>29.447255180371329</v>
      </c>
      <c r="P53" s="26"/>
    </row>
    <row r="54" spans="3:16" ht="15.6">
      <c r="C54" s="45" t="s">
        <v>86</v>
      </c>
      <c r="D54" s="39">
        <v>30</v>
      </c>
      <c r="E54" s="22">
        <v>4.78</v>
      </c>
      <c r="F54" s="22">
        <f t="shared" si="2"/>
        <v>143.4</v>
      </c>
      <c r="G54" s="36">
        <f t="shared" si="10"/>
        <v>3.0319313941416373</v>
      </c>
      <c r="H54" s="36">
        <f t="shared" si="3"/>
        <v>0.20628136249678927</v>
      </c>
      <c r="I54" s="36">
        <f t="shared" si="9"/>
        <v>0.43929328513965687</v>
      </c>
      <c r="J54" s="23">
        <f t="shared" si="4"/>
        <v>147.07750604177809</v>
      </c>
      <c r="K54" s="42">
        <v>0.05</v>
      </c>
      <c r="L54" s="25">
        <f t="shared" si="5"/>
        <v>7.3538753020889054</v>
      </c>
      <c r="M54" s="23">
        <f t="shared" si="6"/>
        <v>0.73538753020889047</v>
      </c>
      <c r="N54" s="23">
        <f t="shared" si="7"/>
        <v>18.620012264889109</v>
      </c>
      <c r="O54" s="23">
        <f t="shared" si="8"/>
        <v>26.709275097186904</v>
      </c>
      <c r="P54" s="26"/>
    </row>
    <row r="55" spans="3:16" ht="15.6">
      <c r="C55" s="45" t="s">
        <v>87</v>
      </c>
      <c r="D55" s="39">
        <v>40</v>
      </c>
      <c r="E55" s="22">
        <v>0.82</v>
      </c>
      <c r="F55" s="22">
        <f t="shared" si="2"/>
        <v>32.799999999999997</v>
      </c>
      <c r="G55" s="36">
        <f t="shared" si="10"/>
        <v>0.69349616267674818</v>
      </c>
      <c r="H55" s="36">
        <f t="shared" si="3"/>
        <v>4.7182905787271176E-2</v>
      </c>
      <c r="I55" s="36">
        <f t="shared" si="9"/>
        <v>0.10047991459261327</v>
      </c>
      <c r="J55" s="23">
        <f t="shared" si="4"/>
        <v>33.641158983056634</v>
      </c>
      <c r="K55" s="42">
        <v>0.05</v>
      </c>
      <c r="L55" s="25">
        <f t="shared" si="5"/>
        <v>1.6820579491528318</v>
      </c>
      <c r="M55" s="23">
        <f t="shared" si="6"/>
        <v>0.16820579491528317</v>
      </c>
      <c r="N55" s="23">
        <f t="shared" si="7"/>
        <v>4.2589707272549697</v>
      </c>
      <c r="O55" s="23">
        <f t="shared" si="8"/>
        <v>6.1092344713230844</v>
      </c>
      <c r="P55" s="26"/>
    </row>
    <row r="56" spans="3:16" ht="15.6">
      <c r="C56" s="45" t="s">
        <v>88</v>
      </c>
      <c r="D56" s="39">
        <v>40</v>
      </c>
      <c r="E56" s="22">
        <v>1.65</v>
      </c>
      <c r="F56" s="22">
        <f t="shared" si="2"/>
        <v>66</v>
      </c>
      <c r="G56" s="36">
        <f t="shared" si="10"/>
        <v>1.3954495956300421</v>
      </c>
      <c r="H56" s="36">
        <f t="shared" si="3"/>
        <v>9.494121286463103E-2</v>
      </c>
      <c r="I56" s="36">
        <f t="shared" si="9"/>
        <v>0.20218519399733159</v>
      </c>
      <c r="J56" s="23">
        <f t="shared" si="4"/>
        <v>67.692576002492004</v>
      </c>
      <c r="K56" s="42">
        <v>0.05</v>
      </c>
      <c r="L56" s="25">
        <f t="shared" si="5"/>
        <v>3.3846288001246005</v>
      </c>
      <c r="M56" s="23">
        <f t="shared" si="6"/>
        <v>0.33846288001246</v>
      </c>
      <c r="N56" s="23">
        <f t="shared" si="7"/>
        <v>8.569880121915487</v>
      </c>
      <c r="O56" s="23">
        <f t="shared" si="8"/>
        <v>12.292971802052548</v>
      </c>
      <c r="P56" s="26"/>
    </row>
    <row r="57" spans="3:16" ht="15.6">
      <c r="C57" s="45" t="s">
        <v>89</v>
      </c>
      <c r="D57" s="39">
        <v>30</v>
      </c>
      <c r="E57" s="22">
        <v>1.53</v>
      </c>
      <c r="F57" s="22">
        <f t="shared" si="2"/>
        <v>45.9</v>
      </c>
      <c r="G57" s="36">
        <f t="shared" si="10"/>
        <v>0.97047176423362025</v>
      </c>
      <c r="H57" s="36">
        <f t="shared" si="3"/>
        <v>6.6027298037675222E-2</v>
      </c>
      <c r="I57" s="36">
        <f t="shared" si="9"/>
        <v>0.14061061218905335</v>
      </c>
      <c r="J57" s="23">
        <f t="shared" si="4"/>
        <v>47.077109674460345</v>
      </c>
      <c r="K57" s="42">
        <v>0.05</v>
      </c>
      <c r="L57" s="25">
        <f t="shared" si="5"/>
        <v>2.3538554837230174</v>
      </c>
      <c r="M57" s="23">
        <f t="shared" si="6"/>
        <v>0.23538554837230174</v>
      </c>
      <c r="N57" s="23">
        <f t="shared" si="7"/>
        <v>5.959962084786679</v>
      </c>
      <c r="O57" s="23">
        <f t="shared" si="8"/>
        <v>8.5492031168819977</v>
      </c>
      <c r="P57" s="26"/>
    </row>
    <row r="58" spans="3:16" ht="15.6">
      <c r="C58" s="45" t="s">
        <v>90</v>
      </c>
      <c r="D58" s="39">
        <v>30</v>
      </c>
      <c r="E58" s="22">
        <v>1.98</v>
      </c>
      <c r="F58" s="22">
        <f t="shared" si="2"/>
        <v>59.4</v>
      </c>
      <c r="G58" s="36">
        <f t="shared" si="10"/>
        <v>1.2559046360670378</v>
      </c>
      <c r="H58" s="36">
        <f t="shared" si="3"/>
        <v>8.5447091578167919E-2</v>
      </c>
      <c r="I58" s="36">
        <f t="shared" si="9"/>
        <v>0.18196667459759841</v>
      </c>
      <c r="J58" s="23">
        <f t="shared" si="4"/>
        <v>60.923318402242799</v>
      </c>
      <c r="K58" s="42">
        <v>0.05</v>
      </c>
      <c r="L58" s="25">
        <f t="shared" si="5"/>
        <v>3.04616592011214</v>
      </c>
      <c r="M58" s="23">
        <f t="shared" si="6"/>
        <v>0.30461659201121399</v>
      </c>
      <c r="N58" s="23">
        <f t="shared" si="7"/>
        <v>7.7128921097239367</v>
      </c>
      <c r="O58" s="23">
        <f t="shared" si="8"/>
        <v>11.063674621847291</v>
      </c>
      <c r="P58" s="26"/>
    </row>
    <row r="59" spans="3:16" ht="15.6">
      <c r="C59" s="45" t="s">
        <v>91</v>
      </c>
      <c r="D59" s="39">
        <v>20</v>
      </c>
      <c r="E59" s="22">
        <v>1.28</v>
      </c>
      <c r="F59" s="22">
        <f t="shared" si="2"/>
        <v>25.6</v>
      </c>
      <c r="G59" s="36">
        <f t="shared" si="10"/>
        <v>0.54126529769892551</v>
      </c>
      <c r="H59" s="36">
        <f t="shared" si="3"/>
        <v>3.6825682565675075E-2</v>
      </c>
      <c r="I59" s="36">
        <f t="shared" si="9"/>
        <v>7.8423347974722571E-2</v>
      </c>
      <c r="J59" s="23">
        <f t="shared" si="4"/>
        <v>26.256514328239323</v>
      </c>
      <c r="K59" s="42">
        <v>0.05</v>
      </c>
      <c r="L59" s="25">
        <f t="shared" si="5"/>
        <v>1.3128257164119663</v>
      </c>
      <c r="M59" s="23">
        <f t="shared" si="6"/>
        <v>0.13128257164119661</v>
      </c>
      <c r="N59" s="23">
        <f t="shared" si="7"/>
        <v>3.3240747139550986</v>
      </c>
      <c r="O59" s="23">
        <f t="shared" si="8"/>
        <v>4.7681830020082616</v>
      </c>
      <c r="P59" s="26"/>
    </row>
    <row r="60" spans="3:16" ht="15.6">
      <c r="C60" s="45" t="s">
        <v>92</v>
      </c>
      <c r="D60" s="39">
        <v>5</v>
      </c>
      <c r="E60" s="22">
        <v>4.12</v>
      </c>
      <c r="F60" s="22">
        <f t="shared" si="2"/>
        <v>20.6</v>
      </c>
      <c r="G60" s="36">
        <f t="shared" si="10"/>
        <v>0.43554941924210411</v>
      </c>
      <c r="H60" s="36">
        <f t="shared" si="3"/>
        <v>2.963316643956666E-2</v>
      </c>
      <c r="I60" s="36">
        <f t="shared" si="9"/>
        <v>6.3106287823409574E-2</v>
      </c>
      <c r="J60" s="23">
        <f t="shared" si="4"/>
        <v>21.128288873505081</v>
      </c>
      <c r="K60" s="42">
        <v>0.05</v>
      </c>
      <c r="L60" s="25">
        <f t="shared" si="5"/>
        <v>1.0564144436752541</v>
      </c>
      <c r="M60" s="23">
        <f t="shared" si="6"/>
        <v>0.10564144436752541</v>
      </c>
      <c r="N60" s="23">
        <f t="shared" si="7"/>
        <v>2.6748413713857433</v>
      </c>
      <c r="O60" s="23">
        <f t="shared" si="8"/>
        <v>3.8368972594285227</v>
      </c>
      <c r="P60" s="26"/>
    </row>
    <row r="61" spans="3:16" ht="15.6">
      <c r="C61" s="45" t="s">
        <v>93</v>
      </c>
      <c r="D61" s="39">
        <v>5</v>
      </c>
      <c r="E61" s="22">
        <v>5.5</v>
      </c>
      <c r="F61" s="22">
        <f t="shared" si="2"/>
        <v>27.5</v>
      </c>
      <c r="G61" s="36">
        <f t="shared" si="10"/>
        <v>0.58143733151251753</v>
      </c>
      <c r="H61" s="36">
        <f t="shared" si="3"/>
        <v>3.9558838693596263E-2</v>
      </c>
      <c r="I61" s="36">
        <f t="shared" ref="I61:I80" si="11">+$I$82/$H$82*H61</f>
        <v>8.4243830832221492E-2</v>
      </c>
      <c r="J61" s="23">
        <f t="shared" si="4"/>
        <v>28.205240001038337</v>
      </c>
      <c r="K61" s="42">
        <v>0.05</v>
      </c>
      <c r="L61" s="25">
        <f t="shared" si="5"/>
        <v>1.410262000051917</v>
      </c>
      <c r="M61" s="23">
        <f t="shared" si="6"/>
        <v>0.1410262000051917</v>
      </c>
      <c r="N61" s="23">
        <f t="shared" si="7"/>
        <v>3.5707833841314538</v>
      </c>
      <c r="O61" s="23">
        <f t="shared" si="8"/>
        <v>5.1220715841885625</v>
      </c>
      <c r="P61" s="26"/>
    </row>
    <row r="62" spans="3:16" ht="15.6">
      <c r="C62" s="45" t="s">
        <v>94</v>
      </c>
      <c r="D62" s="39">
        <v>3</v>
      </c>
      <c r="E62" s="22">
        <v>7.69</v>
      </c>
      <c r="F62" s="22">
        <f t="shared" si="2"/>
        <v>23.07</v>
      </c>
      <c r="G62" s="36">
        <f t="shared" ref="G62:G80" si="12">+$G$82/$F$82*F62</f>
        <v>0.48777306319977382</v>
      </c>
      <c r="H62" s="36">
        <f t="shared" si="3"/>
        <v>3.3186269405864208E-2</v>
      </c>
      <c r="I62" s="36">
        <f t="shared" si="11"/>
        <v>7.0672915538158174E-2</v>
      </c>
      <c r="J62" s="23">
        <f t="shared" si="4"/>
        <v>23.661632248143796</v>
      </c>
      <c r="K62" s="42">
        <v>0.05</v>
      </c>
      <c r="L62" s="25">
        <f t="shared" si="5"/>
        <v>1.1830816124071899</v>
      </c>
      <c r="M62" s="23">
        <f t="shared" si="6"/>
        <v>0.11830816124071898</v>
      </c>
      <c r="N62" s="23">
        <f t="shared" si="7"/>
        <v>2.9955626426150044</v>
      </c>
      <c r="O62" s="23">
        <f t="shared" si="8"/>
        <v>4.2969524162629131</v>
      </c>
      <c r="P62" s="26"/>
    </row>
    <row r="63" spans="3:16" ht="15.6">
      <c r="C63" s="45" t="s">
        <v>95</v>
      </c>
      <c r="D63" s="39">
        <v>20</v>
      </c>
      <c r="E63" s="22">
        <v>2.63</v>
      </c>
      <c r="F63" s="22">
        <f t="shared" si="2"/>
        <v>52.599999999999994</v>
      </c>
      <c r="G63" s="36">
        <f t="shared" si="12"/>
        <v>1.1121310413657608</v>
      </c>
      <c r="H63" s="36">
        <f t="shared" si="3"/>
        <v>7.5665269646660482E-2</v>
      </c>
      <c r="I63" s="36">
        <f t="shared" si="11"/>
        <v>0.16113547279181273</v>
      </c>
      <c r="J63" s="23">
        <f t="shared" si="4"/>
        <v>53.948931783804234</v>
      </c>
      <c r="K63" s="42">
        <v>0.05</v>
      </c>
      <c r="L63" s="25">
        <f t="shared" si="5"/>
        <v>2.697446589190212</v>
      </c>
      <c r="M63" s="23">
        <f t="shared" si="6"/>
        <v>0.26974465891902116</v>
      </c>
      <c r="N63" s="23">
        <f t="shared" si="7"/>
        <v>6.8299347638296162</v>
      </c>
      <c r="O63" s="23">
        <f t="shared" si="8"/>
        <v>9.7971260119388504</v>
      </c>
      <c r="P63" s="26"/>
    </row>
    <row r="64" spans="3:16" ht="15.6">
      <c r="C64" s="45" t="s">
        <v>96</v>
      </c>
      <c r="D64" s="39">
        <v>2</v>
      </c>
      <c r="E64" s="22">
        <v>174.43</v>
      </c>
      <c r="F64" s="22">
        <f t="shared" si="2"/>
        <v>348.86</v>
      </c>
      <c r="G64" s="36">
        <f t="shared" si="12"/>
        <v>7.3760082716893409</v>
      </c>
      <c r="H64" s="36">
        <f t="shared" si="3"/>
        <v>0.50183623515083609</v>
      </c>
      <c r="I64" s="36">
        <f t="shared" si="11"/>
        <v>1.0687019208774107</v>
      </c>
      <c r="J64" s="23">
        <f t="shared" si="4"/>
        <v>357.80654642771759</v>
      </c>
      <c r="K64" s="42">
        <v>0.15</v>
      </c>
      <c r="L64" s="25">
        <f t="shared" si="5"/>
        <v>53.67098196415764</v>
      </c>
      <c r="M64" s="23">
        <f t="shared" si="6"/>
        <v>1.7890327321385879</v>
      </c>
      <c r="N64" s="23">
        <f t="shared" si="7"/>
        <v>49.591987334881658</v>
      </c>
      <c r="O64" s="23">
        <f t="shared" si="8"/>
        <v>105.05200203117789</v>
      </c>
      <c r="P64" s="26"/>
    </row>
    <row r="65" spans="3:16" ht="15.6">
      <c r="C65" s="45" t="s">
        <v>97</v>
      </c>
      <c r="D65" s="39">
        <v>2</v>
      </c>
      <c r="E65" s="22">
        <v>261.19</v>
      </c>
      <c r="F65" s="22">
        <f t="shared" si="2"/>
        <v>522.38</v>
      </c>
      <c r="G65" s="36">
        <f t="shared" si="12"/>
        <v>11.044772117654871</v>
      </c>
      <c r="H65" s="36">
        <f t="shared" si="3"/>
        <v>0.7514453147913025</v>
      </c>
      <c r="I65" s="36">
        <f t="shared" si="11"/>
        <v>1.6002651763685771</v>
      </c>
      <c r="J65" s="23">
        <f t="shared" si="4"/>
        <v>535.77648260881472</v>
      </c>
      <c r="K65" s="42">
        <v>0.15</v>
      </c>
      <c r="L65" s="25">
        <f t="shared" si="5"/>
        <v>80.366472391322205</v>
      </c>
      <c r="M65" s="23">
        <f t="shared" si="6"/>
        <v>2.6788824130440738</v>
      </c>
      <c r="N65" s="23">
        <f t="shared" si="7"/>
        <v>74.258620489581716</v>
      </c>
      <c r="O65" s="23">
        <f t="shared" si="8"/>
        <v>157.30397529394799</v>
      </c>
      <c r="P65" s="26"/>
    </row>
    <row r="66" spans="3:16" ht="15.6">
      <c r="C66" s="45" t="s">
        <v>98</v>
      </c>
      <c r="D66" s="39">
        <v>50</v>
      </c>
      <c r="E66" s="22">
        <v>217.31</v>
      </c>
      <c r="F66" s="22">
        <f t="shared" si="2"/>
        <v>10865.5</v>
      </c>
      <c r="G66" s="36">
        <f t="shared" si="12"/>
        <v>229.73117547451852</v>
      </c>
      <c r="H66" s="36">
        <f t="shared" si="3"/>
        <v>15.630056793646188</v>
      </c>
      <c r="I66" s="36">
        <f t="shared" si="11"/>
        <v>33.28550341481828</v>
      </c>
      <c r="J66" s="23">
        <f t="shared" si="4"/>
        <v>11144.146735682983</v>
      </c>
      <c r="K66" s="42">
        <v>0.15</v>
      </c>
      <c r="L66" s="25">
        <f t="shared" si="5"/>
        <v>1671.6220103524474</v>
      </c>
      <c r="M66" s="23">
        <f t="shared" si="6"/>
        <v>55.720733678414916</v>
      </c>
      <c r="N66" s="23">
        <f t="shared" si="7"/>
        <v>1544.5787375656614</v>
      </c>
      <c r="O66" s="23">
        <f t="shared" si="8"/>
        <v>3271.9214815965238</v>
      </c>
      <c r="P66" s="26"/>
    </row>
    <row r="67" spans="3:16" ht="15.6">
      <c r="C67" s="45" t="s">
        <v>99</v>
      </c>
      <c r="D67" s="39">
        <v>20</v>
      </c>
      <c r="E67" s="22">
        <v>300.55</v>
      </c>
      <c r="F67" s="22">
        <f t="shared" si="2"/>
        <v>6011</v>
      </c>
      <c r="G67" s="36">
        <f t="shared" si="12"/>
        <v>127.09162908079065</v>
      </c>
      <c r="H67" s="36">
        <f t="shared" si="3"/>
        <v>8.6468428868075318</v>
      </c>
      <c r="I67" s="36">
        <f t="shared" si="11"/>
        <v>18.414169713908485</v>
      </c>
      <c r="J67" s="23">
        <f t="shared" si="4"/>
        <v>6165.1526416815068</v>
      </c>
      <c r="K67" s="42">
        <v>0.05</v>
      </c>
      <c r="L67" s="25">
        <f t="shared" si="5"/>
        <v>308.25763208407534</v>
      </c>
      <c r="M67" s="23">
        <f t="shared" si="6"/>
        <v>30.825763208407533</v>
      </c>
      <c r="N67" s="23">
        <f t="shared" si="7"/>
        <v>780.50832443687875</v>
      </c>
      <c r="O67" s="23">
        <f t="shared" si="8"/>
        <v>1119.5917197293616</v>
      </c>
      <c r="P67" s="26"/>
    </row>
    <row r="68" spans="3:16" ht="15.6">
      <c r="C68" s="45" t="s">
        <v>100</v>
      </c>
      <c r="D68" s="39">
        <v>20</v>
      </c>
      <c r="E68" s="22">
        <v>243.56</v>
      </c>
      <c r="F68" s="22">
        <f t="shared" si="2"/>
        <v>4871.2</v>
      </c>
      <c r="G68" s="36">
        <f t="shared" si="12"/>
        <v>102.99263742777366</v>
      </c>
      <c r="H68" s="36">
        <f t="shared" si="3"/>
        <v>7.0072369106998593</v>
      </c>
      <c r="I68" s="36">
        <f t="shared" si="11"/>
        <v>14.922492681815179</v>
      </c>
      <c r="J68" s="23">
        <f t="shared" si="4"/>
        <v>4996.1223670202889</v>
      </c>
      <c r="K68" s="42">
        <v>0.05</v>
      </c>
      <c r="L68" s="25">
        <f t="shared" si="5"/>
        <v>249.80611835101445</v>
      </c>
      <c r="M68" s="23">
        <f t="shared" si="6"/>
        <v>24.980611835101445</v>
      </c>
      <c r="N68" s="23">
        <f t="shared" si="7"/>
        <v>632.50909166476856</v>
      </c>
      <c r="O68" s="23">
        <f t="shared" si="8"/>
        <v>907.29582185088452</v>
      </c>
      <c r="P68" s="26"/>
    </row>
    <row r="69" spans="3:16" ht="15.6">
      <c r="C69" s="45" t="s">
        <v>101</v>
      </c>
      <c r="D69" s="39">
        <v>60</v>
      </c>
      <c r="E69" s="22">
        <v>74.52</v>
      </c>
      <c r="F69" s="22">
        <f t="shared" si="2"/>
        <v>4471.2</v>
      </c>
      <c r="G69" s="36">
        <f t="shared" si="12"/>
        <v>94.535367151227945</v>
      </c>
      <c r="H69" s="36">
        <f t="shared" si="3"/>
        <v>6.431835620611186</v>
      </c>
      <c r="I69" s="36">
        <f t="shared" si="11"/>
        <v>13.697127869710137</v>
      </c>
      <c r="J69" s="23">
        <f t="shared" si="4"/>
        <v>4585.8643306415488</v>
      </c>
      <c r="K69" s="42">
        <v>0.15</v>
      </c>
      <c r="L69" s="25">
        <f t="shared" si="5"/>
        <v>687.8796495962323</v>
      </c>
      <c r="M69" s="23">
        <f t="shared" si="6"/>
        <v>22.929321653207744</v>
      </c>
      <c r="N69" s="23">
        <f t="shared" si="7"/>
        <v>635.60079622691865</v>
      </c>
      <c r="O69" s="23">
        <f t="shared" si="8"/>
        <v>1346.4097674763586</v>
      </c>
      <c r="P69" s="26"/>
    </row>
    <row r="70" spans="3:16" ht="15.6">
      <c r="C70" s="45" t="s">
        <v>102</v>
      </c>
      <c r="D70" s="39">
        <v>30</v>
      </c>
      <c r="E70" s="22">
        <v>122.93</v>
      </c>
      <c r="F70" s="22">
        <f t="shared" si="2"/>
        <v>3687.9</v>
      </c>
      <c r="G70" s="36">
        <f t="shared" si="12"/>
        <v>77.973917632182307</v>
      </c>
      <c r="H70" s="36">
        <f t="shared" si="3"/>
        <v>5.3050560442950419</v>
      </c>
      <c r="I70" s="36">
        <f t="shared" si="11"/>
        <v>11.297557226405441</v>
      </c>
      <c r="J70" s="23">
        <f t="shared" si="4"/>
        <v>3782.4765309028826</v>
      </c>
      <c r="K70" s="42">
        <v>0.15</v>
      </c>
      <c r="L70" s="25">
        <f t="shared" si="5"/>
        <v>567.37147963543237</v>
      </c>
      <c r="M70" s="23">
        <f t="shared" si="6"/>
        <v>18.912382654514413</v>
      </c>
      <c r="N70" s="23">
        <f t="shared" si="7"/>
        <v>524.25124718313953</v>
      </c>
      <c r="O70" s="23">
        <f t="shared" si="8"/>
        <v>1110.5351094730863</v>
      </c>
      <c r="P70" s="26"/>
    </row>
    <row r="71" spans="3:16" ht="15.6">
      <c r="C71" s="45" t="s">
        <v>103</v>
      </c>
      <c r="D71" s="39">
        <v>15</v>
      </c>
      <c r="E71" s="22">
        <v>92.14</v>
      </c>
      <c r="F71" s="22">
        <f t="shared" si="2"/>
        <v>1382.1</v>
      </c>
      <c r="G71" s="36">
        <f t="shared" si="12"/>
        <v>29.221983123034562</v>
      </c>
      <c r="H71" s="36">
        <f t="shared" si="3"/>
        <v>1.9881553075788869</v>
      </c>
      <c r="I71" s="36">
        <f t="shared" si="11"/>
        <v>4.2339417670259394</v>
      </c>
      <c r="J71" s="23">
        <f t="shared" si="4"/>
        <v>1417.5440801976392</v>
      </c>
      <c r="K71" s="42">
        <v>0.15</v>
      </c>
      <c r="L71" s="25">
        <f t="shared" si="5"/>
        <v>212.63161202964588</v>
      </c>
      <c r="M71" s="23">
        <f t="shared" si="6"/>
        <v>7.0877204009881964</v>
      </c>
      <c r="N71" s="23">
        <f t="shared" si="7"/>
        <v>196.4716095153928</v>
      </c>
      <c r="O71" s="23">
        <f t="shared" si="8"/>
        <v>416.1909419460269</v>
      </c>
      <c r="P71" s="26"/>
    </row>
    <row r="72" spans="3:16" ht="15.6">
      <c r="C72" s="45" t="s">
        <v>40</v>
      </c>
      <c r="D72" s="39">
        <v>20</v>
      </c>
      <c r="E72" s="22">
        <v>191.06</v>
      </c>
      <c r="F72" s="22">
        <f t="shared" si="2"/>
        <v>3821.2</v>
      </c>
      <c r="G72" s="36">
        <f t="shared" si="12"/>
        <v>80.792302951841165</v>
      </c>
      <c r="H72" s="36">
        <f t="shared" si="3"/>
        <v>5.4968085242170925</v>
      </c>
      <c r="I72" s="36">
        <f t="shared" si="11"/>
        <v>11.705910050039448</v>
      </c>
      <c r="J72" s="23">
        <f t="shared" si="4"/>
        <v>3919.1950215260977</v>
      </c>
      <c r="K72" s="42">
        <v>0.05</v>
      </c>
      <c r="L72" s="25">
        <f t="shared" si="5"/>
        <v>195.95975107630488</v>
      </c>
      <c r="M72" s="23">
        <f t="shared" si="6"/>
        <v>19.59597510763049</v>
      </c>
      <c r="N72" s="23">
        <f t="shared" si="7"/>
        <v>496.17008972520398</v>
      </c>
      <c r="O72" s="23">
        <f t="shared" si="8"/>
        <v>711.72581590913933</v>
      </c>
      <c r="P72" s="26"/>
    </row>
    <row r="73" spans="3:16" ht="15.6">
      <c r="C73" s="45" t="s">
        <v>41</v>
      </c>
      <c r="D73" s="39">
        <v>20</v>
      </c>
      <c r="E73" s="22">
        <v>51.49</v>
      </c>
      <c r="F73" s="22">
        <f t="shared" ref="F73:F81" si="13">+D73*E73</f>
        <v>1029.8</v>
      </c>
      <c r="G73" s="36">
        <f t="shared" si="12"/>
        <v>21.77324232696693</v>
      </c>
      <c r="H73" s="36">
        <f t="shared" ref="H73:H80" si="14">+$H$82/$G$82*G73</f>
        <v>1.4813706213332885</v>
      </c>
      <c r="I73" s="36">
        <f t="shared" si="11"/>
        <v>3.1547017087644256</v>
      </c>
      <c r="J73" s="23">
        <f t="shared" ref="J73:J81" si="15">+F73+G73+H73+I73</f>
        <v>1056.2093146570646</v>
      </c>
      <c r="K73" s="42">
        <v>0.05</v>
      </c>
      <c r="L73" s="25">
        <f t="shared" ref="L73:L80" si="16">+J73*K73</f>
        <v>52.810465732853231</v>
      </c>
      <c r="M73" s="23">
        <f t="shared" ref="M73:M80" si="17">+J73*0.5%</f>
        <v>5.2810465732853231</v>
      </c>
      <c r="N73" s="23">
        <f t="shared" ref="N73:N80" si="18">(J73+L73+M73)*12%</f>
        <v>133.71609923558435</v>
      </c>
      <c r="O73" s="23">
        <f t="shared" ref="O73:O80" si="19">SUM(L73:N73)</f>
        <v>191.80761154172291</v>
      </c>
      <c r="P73" s="26"/>
    </row>
    <row r="74" spans="3:16" ht="15.6">
      <c r="C74" s="45" t="s">
        <v>104</v>
      </c>
      <c r="D74" s="39">
        <v>25</v>
      </c>
      <c r="E74" s="22">
        <v>24.63</v>
      </c>
      <c r="F74" s="22">
        <f t="shared" si="13"/>
        <v>615.75</v>
      </c>
      <c r="G74" s="36">
        <f t="shared" si="12"/>
        <v>13.018910431957552</v>
      </c>
      <c r="H74" s="36">
        <f t="shared" si="14"/>
        <v>0.88575836093025084</v>
      </c>
      <c r="I74" s="36">
        <f t="shared" si="11"/>
        <v>1.8862959576341958</v>
      </c>
      <c r="J74" s="23">
        <f t="shared" si="15"/>
        <v>631.54096475052199</v>
      </c>
      <c r="K74" s="42">
        <v>0.05</v>
      </c>
      <c r="L74" s="25">
        <f t="shared" si="16"/>
        <v>31.5770482375261</v>
      </c>
      <c r="M74" s="23">
        <f t="shared" si="17"/>
        <v>3.15770482375261</v>
      </c>
      <c r="N74" s="23">
        <f t="shared" si="18"/>
        <v>79.953086137416093</v>
      </c>
      <c r="O74" s="23">
        <f t="shared" si="19"/>
        <v>114.6878391986948</v>
      </c>
      <c r="P74" s="26"/>
    </row>
    <row r="75" spans="3:16" ht="15.6">
      <c r="C75" s="45" t="s">
        <v>105</v>
      </c>
      <c r="D75" s="39">
        <v>15</v>
      </c>
      <c r="E75" s="22">
        <v>7.34</v>
      </c>
      <c r="F75" s="22">
        <f t="shared" si="13"/>
        <v>110.1</v>
      </c>
      <c r="G75" s="36">
        <f t="shared" si="12"/>
        <v>2.3278636436192066</v>
      </c>
      <c r="H75" s="36">
        <f t="shared" si="14"/>
        <v>0.15837920509690723</v>
      </c>
      <c r="I75" s="36">
        <f t="shared" si="11"/>
        <v>0.33728166453191227</v>
      </c>
      <c r="J75" s="23">
        <f t="shared" si="15"/>
        <v>112.92352451324803</v>
      </c>
      <c r="K75" s="42">
        <v>0.25</v>
      </c>
      <c r="L75" s="25">
        <f t="shared" si="16"/>
        <v>28.230881128312006</v>
      </c>
      <c r="M75" s="23">
        <f t="shared" si="17"/>
        <v>0.56461762256624015</v>
      </c>
      <c r="N75" s="23">
        <f t="shared" si="18"/>
        <v>17.006282791695153</v>
      </c>
      <c r="O75" s="23">
        <f t="shared" si="19"/>
        <v>45.801781542573394</v>
      </c>
      <c r="P75" s="26"/>
    </row>
    <row r="76" spans="3:16" ht="15.6">
      <c r="C76" s="45" t="s">
        <v>106</v>
      </c>
      <c r="D76" s="39">
        <v>500</v>
      </c>
      <c r="E76" s="22">
        <v>1.0900000000000001</v>
      </c>
      <c r="F76" s="22">
        <f t="shared" si="13"/>
        <v>545</v>
      </c>
      <c r="G76" s="36">
        <f t="shared" si="12"/>
        <v>11.523030751793529</v>
      </c>
      <c r="H76" s="36">
        <f t="shared" si="14"/>
        <v>0.78398425774581681</v>
      </c>
      <c r="I76" s="36">
        <f t="shared" si="11"/>
        <v>1.6695595564931169</v>
      </c>
      <c r="J76" s="23">
        <f t="shared" si="15"/>
        <v>558.97657456603247</v>
      </c>
      <c r="K76" s="42">
        <v>0.25</v>
      </c>
      <c r="L76" s="25">
        <f t="shared" si="16"/>
        <v>139.74414364150812</v>
      </c>
      <c r="M76" s="23">
        <f t="shared" si="17"/>
        <v>2.7948828728301622</v>
      </c>
      <c r="N76" s="23">
        <f t="shared" si="18"/>
        <v>84.181872129644489</v>
      </c>
      <c r="O76" s="23">
        <f t="shared" si="19"/>
        <v>226.72089864398276</v>
      </c>
      <c r="P76" s="26"/>
    </row>
    <row r="77" spans="3:16" ht="15.6">
      <c r="C77" s="45" t="s">
        <v>107</v>
      </c>
      <c r="D77" s="39">
        <v>50</v>
      </c>
      <c r="E77" s="22">
        <v>16.559999999999999</v>
      </c>
      <c r="F77" s="22">
        <f t="shared" si="13"/>
        <v>827.99999999999989</v>
      </c>
      <c r="G77" s="36">
        <f t="shared" si="12"/>
        <v>17.506549472449617</v>
      </c>
      <c r="H77" s="36">
        <f t="shared" si="14"/>
        <v>1.1910806704835528</v>
      </c>
      <c r="I77" s="36">
        <f t="shared" si="11"/>
        <v>2.5365051610574323</v>
      </c>
      <c r="J77" s="23">
        <f t="shared" si="15"/>
        <v>849.23413530399046</v>
      </c>
      <c r="K77" s="42">
        <v>0.25</v>
      </c>
      <c r="L77" s="25">
        <f t="shared" si="16"/>
        <v>212.30853382599761</v>
      </c>
      <c r="M77" s="23">
        <f t="shared" si="17"/>
        <v>4.2461706765199523</v>
      </c>
      <c r="N77" s="23">
        <f t="shared" si="18"/>
        <v>127.89466077678097</v>
      </c>
      <c r="O77" s="23">
        <f t="shared" si="19"/>
        <v>344.44936527929849</v>
      </c>
      <c r="P77" s="26"/>
    </row>
    <row r="78" spans="3:16" ht="15.6">
      <c r="C78" s="45" t="s">
        <v>108</v>
      </c>
      <c r="D78" s="39">
        <v>117</v>
      </c>
      <c r="E78" s="22">
        <v>71.86</v>
      </c>
      <c r="F78" s="22">
        <f t="shared" si="13"/>
        <v>8407.6200000000008</v>
      </c>
      <c r="G78" s="36">
        <f t="shared" si="12"/>
        <v>177.76378680622813</v>
      </c>
      <c r="H78" s="36">
        <f t="shared" si="14"/>
        <v>12.094388486438323</v>
      </c>
      <c r="I78" s="36">
        <f t="shared" si="11"/>
        <v>25.756004253876444</v>
      </c>
      <c r="J78" s="23">
        <f t="shared" si="15"/>
        <v>8623.2341795465454</v>
      </c>
      <c r="K78" s="42">
        <v>0.05</v>
      </c>
      <c r="L78" s="25">
        <f t="shared" si="16"/>
        <v>431.16170897732729</v>
      </c>
      <c r="M78" s="23">
        <f t="shared" si="17"/>
        <v>43.116170897732729</v>
      </c>
      <c r="N78" s="23">
        <f t="shared" si="18"/>
        <v>1091.7014471305927</v>
      </c>
      <c r="O78" s="23">
        <f t="shared" si="19"/>
        <v>1565.9793270056527</v>
      </c>
      <c r="P78" s="26"/>
    </row>
    <row r="79" spans="3:16" ht="15.6">
      <c r="C79" s="45" t="s">
        <v>109</v>
      </c>
      <c r="D79" s="39">
        <v>1</v>
      </c>
      <c r="E79" s="22">
        <v>1388.89</v>
      </c>
      <c r="F79" s="22">
        <f t="shared" si="13"/>
        <v>1388.89</v>
      </c>
      <c r="G79" s="36">
        <f t="shared" si="12"/>
        <v>29.365545285978929</v>
      </c>
      <c r="H79" s="36">
        <f t="shared" si="14"/>
        <v>1.9979227444781424</v>
      </c>
      <c r="I79" s="36">
        <f t="shared" si="11"/>
        <v>4.2547423347114224</v>
      </c>
      <c r="J79" s="23">
        <f t="shared" si="15"/>
        <v>1424.5082103651685</v>
      </c>
      <c r="K79" s="42">
        <v>0.05</v>
      </c>
      <c r="L79" s="25">
        <f t="shared" si="16"/>
        <v>71.225410518258428</v>
      </c>
      <c r="M79" s="23">
        <f t="shared" si="17"/>
        <v>7.1225410518258423</v>
      </c>
      <c r="N79" s="23">
        <f t="shared" si="18"/>
        <v>180.34273943223033</v>
      </c>
      <c r="O79" s="23">
        <f t="shared" si="19"/>
        <v>258.69069100231462</v>
      </c>
      <c r="P79" s="26"/>
    </row>
    <row r="80" spans="3:16" ht="15.6">
      <c r="C80" s="45" t="s">
        <v>110</v>
      </c>
      <c r="D80" s="39">
        <v>3</v>
      </c>
      <c r="E80" s="22">
        <v>289.27</v>
      </c>
      <c r="F80" s="22">
        <f t="shared" si="13"/>
        <v>867.81</v>
      </c>
      <c r="G80" s="36">
        <f t="shared" si="12"/>
        <v>18.34825929672283</v>
      </c>
      <c r="H80" s="36">
        <f t="shared" si="14"/>
        <v>1.248347483879628</v>
      </c>
      <c r="I80" s="36">
        <f t="shared" si="11"/>
        <v>2.6584595939821867</v>
      </c>
      <c r="J80" s="23">
        <f t="shared" si="15"/>
        <v>890.06506637458472</v>
      </c>
      <c r="K80" s="42">
        <v>0.05</v>
      </c>
      <c r="L80" s="25">
        <f t="shared" si="16"/>
        <v>44.503253318729236</v>
      </c>
      <c r="M80" s="23">
        <f t="shared" si="17"/>
        <v>4.4503253318729241</v>
      </c>
      <c r="N80" s="23">
        <f t="shared" si="18"/>
        <v>112.68223740302241</v>
      </c>
      <c r="O80" s="23">
        <f t="shared" si="19"/>
        <v>161.63581605362458</v>
      </c>
      <c r="P80" s="26"/>
    </row>
    <row r="81" spans="3:16" ht="15.6">
      <c r="C81" s="45" t="s">
        <v>111</v>
      </c>
      <c r="D81" s="39">
        <v>1</v>
      </c>
      <c r="E81" s="22">
        <v>4769.63</v>
      </c>
      <c r="F81" s="22">
        <f t="shared" si="13"/>
        <v>4769.63</v>
      </c>
      <c r="G81" s="36">
        <f>+$G$82/$F$82*F81</f>
        <v>100.84512507280179</v>
      </c>
      <c r="H81" s="36">
        <f>+$H$82/$G$82*G81</f>
        <v>6.8611281381140934</v>
      </c>
      <c r="I81" s="36">
        <f>+$I$82/$H$82*H81</f>
        <v>14.611341921901406</v>
      </c>
      <c r="J81" s="23">
        <f t="shared" si="15"/>
        <v>4891.9475951328186</v>
      </c>
      <c r="K81" s="42">
        <v>0</v>
      </c>
      <c r="L81" s="25">
        <f>+J81*K81</f>
        <v>0</v>
      </c>
      <c r="M81" s="23">
        <f>+J81*0.5%</f>
        <v>24.459737975664094</v>
      </c>
      <c r="N81" s="23">
        <f>(J81+L81+M81)*12%</f>
        <v>589.96887997301792</v>
      </c>
      <c r="O81" s="23">
        <f>SUM(L81:N81)</f>
        <v>614.42861794868202</v>
      </c>
      <c r="P81" s="26"/>
    </row>
    <row r="82" spans="3:16">
      <c r="C82" s="20"/>
      <c r="D82" s="41">
        <f>SUM(D7:D81)</f>
        <v>2971</v>
      </c>
      <c r="E82" s="41">
        <f>SUM(E7:E81)</f>
        <v>16544.620000000003</v>
      </c>
      <c r="F82" s="41">
        <f>SUM(F7:F81)</f>
        <v>278907.96000000002</v>
      </c>
      <c r="G82" s="29">
        <v>5897</v>
      </c>
      <c r="H82" s="29">
        <v>401.21</v>
      </c>
      <c r="I82" s="29">
        <v>854.41</v>
      </c>
      <c r="J82" s="29">
        <f>SUM(J7:J81)</f>
        <v>286060.57999999996</v>
      </c>
      <c r="K82" s="30"/>
      <c r="L82" s="29">
        <f>SUM(L7:L81)</f>
        <v>37225.605498267134</v>
      </c>
      <c r="M82" s="29">
        <f>SUM(M7:M81)</f>
        <v>1430.3028999999997</v>
      </c>
      <c r="N82" s="29">
        <f>SUM(N7:N81)</f>
        <v>38965.978607792058</v>
      </c>
      <c r="O82" s="31">
        <f>SUM(O7:O81)</f>
        <v>77621.887006059187</v>
      </c>
      <c r="P82" s="32"/>
    </row>
    <row r="83" spans="3:16">
      <c r="C83" s="27"/>
      <c r="D83" s="27"/>
      <c r="E83" s="27"/>
      <c r="F83" s="27"/>
      <c r="G83" s="27"/>
      <c r="H83" s="27"/>
      <c r="I83" s="27"/>
      <c r="J83" s="33"/>
      <c r="K83" s="27"/>
      <c r="L83" s="33">
        <v>37225.599999999999</v>
      </c>
      <c r="M83" s="34">
        <v>1430.34</v>
      </c>
      <c r="N83" s="33">
        <v>39007.71</v>
      </c>
      <c r="O83" s="33">
        <f>SUM(L83:N83)</f>
        <v>77663.649999999994</v>
      </c>
      <c r="P83" s="44">
        <f>+O83-O82</f>
        <v>41.762993940807064</v>
      </c>
    </row>
    <row r="85" spans="3:16">
      <c r="G85" s="191" t="s">
        <v>9</v>
      </c>
      <c r="H85" s="191"/>
      <c r="I85" s="191" t="s">
        <v>10</v>
      </c>
      <c r="J85" s="191"/>
      <c r="K85" s="191" t="s">
        <v>112</v>
      </c>
      <c r="L85" s="191"/>
    </row>
    <row r="86" spans="3:16">
      <c r="G86" s="9">
        <f>+G82</f>
        <v>5897</v>
      </c>
      <c r="H86" s="9">
        <f>+F82</f>
        <v>278907.96000000002</v>
      </c>
      <c r="I86" s="9">
        <f>+H82</f>
        <v>401.21</v>
      </c>
      <c r="J86" s="9">
        <f>+F82</f>
        <v>278907.96000000002</v>
      </c>
      <c r="K86" s="9">
        <f>+I82</f>
        <v>854.41</v>
      </c>
      <c r="L86" s="9">
        <f>+F82</f>
        <v>278907.96000000002</v>
      </c>
    </row>
    <row r="87" spans="3:16">
      <c r="G87" s="37">
        <f>+F7</f>
        <v>7062.6</v>
      </c>
      <c r="H87" s="4">
        <f>+G86/H86*G87</f>
        <v>149.32579263782932</v>
      </c>
      <c r="I87" s="37">
        <f>+F7</f>
        <v>7062.6</v>
      </c>
      <c r="J87" s="4">
        <f>+I86/J86*I87</f>
        <v>10.159572878450653</v>
      </c>
      <c r="K87" s="37">
        <f>+F7</f>
        <v>7062.6</v>
      </c>
      <c r="L87" s="4">
        <f>+K86/L86*K87</f>
        <v>21.635653804932637</v>
      </c>
    </row>
    <row r="94" spans="3:16" ht="15.6" hidden="1">
      <c r="C94" s="14" t="s">
        <v>34</v>
      </c>
    </row>
    <row r="95" spans="3:16" ht="15.6" hidden="1">
      <c r="C95" s="15" t="s">
        <v>35</v>
      </c>
    </row>
    <row r="96" spans="3:16" ht="15.6" hidden="1">
      <c r="C96" s="15" t="s">
        <v>36</v>
      </c>
    </row>
    <row r="97" spans="3:3" ht="15.6" hidden="1">
      <c r="C97" s="16"/>
    </row>
    <row r="98" spans="3:3" ht="15.6" hidden="1">
      <c r="C98" s="16" t="s">
        <v>37</v>
      </c>
    </row>
    <row r="99" spans="3:3" hidden="1"/>
  </sheetData>
  <mergeCells count="4">
    <mergeCell ref="C5:L5"/>
    <mergeCell ref="G85:H85"/>
    <mergeCell ref="I85:J85"/>
    <mergeCell ref="K85:L8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4"/>
  <sheetViews>
    <sheetView workbookViewId="0">
      <selection activeCell="N1" sqref="N1"/>
    </sheetView>
  </sheetViews>
  <sheetFormatPr defaultColWidth="11.42578125" defaultRowHeight="14.45"/>
  <cols>
    <col min="2" max="2" width="22.140625" bestFit="1" customWidth="1"/>
  </cols>
  <sheetData>
    <row r="3" spans="1:10">
      <c r="A3">
        <v>1</v>
      </c>
      <c r="B3" t="s">
        <v>113</v>
      </c>
      <c r="C3">
        <v>1</v>
      </c>
      <c r="D3" t="s">
        <v>114</v>
      </c>
      <c r="E3">
        <v>1</v>
      </c>
      <c r="F3" t="s">
        <v>115</v>
      </c>
      <c r="H3" t="s">
        <v>116</v>
      </c>
      <c r="J3" t="s">
        <v>117</v>
      </c>
    </row>
    <row r="4" spans="1:10">
      <c r="A4">
        <v>2</v>
      </c>
      <c r="B4" t="s">
        <v>118</v>
      </c>
      <c r="C4">
        <v>2</v>
      </c>
      <c r="D4" t="s">
        <v>119</v>
      </c>
      <c r="E4">
        <v>2</v>
      </c>
      <c r="F4" t="s">
        <v>120</v>
      </c>
      <c r="H4" t="s">
        <v>121</v>
      </c>
      <c r="J4" t="s">
        <v>122</v>
      </c>
    </row>
    <row r="5" spans="1:10">
      <c r="A5">
        <v>3</v>
      </c>
      <c r="B5" t="s">
        <v>123</v>
      </c>
      <c r="C5">
        <v>3</v>
      </c>
      <c r="D5" t="s">
        <v>124</v>
      </c>
      <c r="E5">
        <v>3</v>
      </c>
      <c r="F5" t="s">
        <v>125</v>
      </c>
      <c r="H5" t="s">
        <v>126</v>
      </c>
      <c r="J5" t="s">
        <v>127</v>
      </c>
    </row>
    <row r="6" spans="1:10">
      <c r="A6">
        <v>4</v>
      </c>
      <c r="B6" t="s">
        <v>128</v>
      </c>
      <c r="E6">
        <v>4</v>
      </c>
      <c r="F6" t="s">
        <v>129</v>
      </c>
      <c r="H6" t="s">
        <v>130</v>
      </c>
      <c r="J6" t="s">
        <v>131</v>
      </c>
    </row>
    <row r="7" spans="1:10">
      <c r="A7">
        <v>5</v>
      </c>
      <c r="B7" t="s">
        <v>132</v>
      </c>
      <c r="E7">
        <v>5</v>
      </c>
      <c r="F7" t="s">
        <v>133</v>
      </c>
      <c r="H7" t="s">
        <v>134</v>
      </c>
      <c r="J7" t="s">
        <v>135</v>
      </c>
    </row>
    <row r="8" spans="1:10">
      <c r="A8">
        <v>6</v>
      </c>
      <c r="B8" t="s">
        <v>136</v>
      </c>
      <c r="E8">
        <v>6</v>
      </c>
      <c r="F8" t="s">
        <v>137</v>
      </c>
      <c r="H8" t="s">
        <v>138</v>
      </c>
    </row>
    <row r="9" spans="1:10">
      <c r="A9">
        <v>7</v>
      </c>
      <c r="B9" t="s">
        <v>139</v>
      </c>
      <c r="E9">
        <v>7</v>
      </c>
      <c r="F9" t="s">
        <v>140</v>
      </c>
      <c r="H9" t="s">
        <v>141</v>
      </c>
    </row>
    <row r="10" spans="1:10">
      <c r="A10">
        <v>8</v>
      </c>
      <c r="B10" t="s">
        <v>142</v>
      </c>
      <c r="H10" t="s">
        <v>143</v>
      </c>
    </row>
    <row r="11" spans="1:10">
      <c r="A11">
        <v>9</v>
      </c>
      <c r="B11" t="s">
        <v>144</v>
      </c>
      <c r="H11" t="s">
        <v>145</v>
      </c>
    </row>
    <row r="12" spans="1:10">
      <c r="A12">
        <v>10</v>
      </c>
      <c r="B12" t="s">
        <v>146</v>
      </c>
      <c r="H12" t="s">
        <v>147</v>
      </c>
    </row>
    <row r="13" spans="1:10">
      <c r="A13">
        <v>11</v>
      </c>
      <c r="B13" t="s">
        <v>148</v>
      </c>
      <c r="H13" t="s">
        <v>149</v>
      </c>
    </row>
    <row r="14" spans="1:10">
      <c r="H14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96"/>
  <sheetViews>
    <sheetView zoomScaleNormal="100" workbookViewId="0">
      <pane xSplit="1" ySplit="2" topLeftCell="B28" activePane="bottomRight" state="frozen"/>
      <selection pane="bottomRight" activeCell="E37" sqref="E37"/>
      <selection pane="bottomLeft" activeCell="A3" sqref="A3"/>
      <selection pane="topRight" activeCell="B1" sqref="B1"/>
    </sheetView>
  </sheetViews>
  <sheetFormatPr defaultColWidth="11.42578125" defaultRowHeight="14.45"/>
  <cols>
    <col min="1" max="1" width="2.140625" customWidth="1"/>
    <col min="2" max="2" width="6.42578125" bestFit="1" customWidth="1"/>
    <col min="3" max="3" width="12.42578125" bestFit="1" customWidth="1"/>
    <col min="4" max="4" width="72.7109375" bestFit="1" customWidth="1"/>
    <col min="5" max="5" width="12.42578125" bestFit="1" customWidth="1"/>
    <col min="6" max="6" width="20.28515625" bestFit="1" customWidth="1"/>
  </cols>
  <sheetData>
    <row r="1" spans="2:7" ht="15" thickBot="1"/>
    <row r="2" spans="2:7" ht="15" thickBot="1">
      <c r="B2" s="47" t="s">
        <v>151</v>
      </c>
      <c r="C2" s="48" t="s">
        <v>152</v>
      </c>
      <c r="D2" s="48" t="s">
        <v>5</v>
      </c>
      <c r="E2" s="48" t="s">
        <v>14</v>
      </c>
      <c r="F2" s="48" t="s">
        <v>153</v>
      </c>
      <c r="G2" s="49" t="s">
        <v>154</v>
      </c>
    </row>
    <row r="3" spans="2:7" ht="15" thickBot="1">
      <c r="B3" s="50">
        <v>1</v>
      </c>
      <c r="C3" s="51">
        <v>7616999000</v>
      </c>
      <c r="D3" s="52" t="s">
        <v>155</v>
      </c>
      <c r="E3" s="53">
        <v>0.25</v>
      </c>
      <c r="F3" s="54" t="s">
        <v>156</v>
      </c>
      <c r="G3" s="55" t="s">
        <v>157</v>
      </c>
    </row>
    <row r="4" spans="2:7" ht="15" thickBot="1">
      <c r="B4" s="50">
        <v>2</v>
      </c>
      <c r="C4" s="54">
        <v>7616999000</v>
      </c>
      <c r="D4" s="52" t="s">
        <v>155</v>
      </c>
      <c r="E4" s="53">
        <v>0.25</v>
      </c>
      <c r="F4" s="54" t="s">
        <v>156</v>
      </c>
      <c r="G4" s="54" t="s">
        <v>158</v>
      </c>
    </row>
    <row r="5" spans="2:7" ht="15" thickBot="1">
      <c r="B5" s="50">
        <v>3</v>
      </c>
      <c r="C5" s="54">
        <v>3917399000</v>
      </c>
      <c r="D5" s="54" t="s">
        <v>159</v>
      </c>
      <c r="E5" s="56">
        <v>0.15</v>
      </c>
      <c r="F5" s="52" t="s">
        <v>156</v>
      </c>
      <c r="G5" s="54" t="s">
        <v>160</v>
      </c>
    </row>
    <row r="6" spans="2:7" ht="15" thickBot="1">
      <c r="B6" s="50">
        <v>4</v>
      </c>
      <c r="C6" s="54">
        <v>4009310000</v>
      </c>
      <c r="D6" s="52" t="s">
        <v>161</v>
      </c>
      <c r="E6" s="56">
        <v>0.15</v>
      </c>
      <c r="F6" s="52" t="s">
        <v>156</v>
      </c>
      <c r="G6" s="54" t="s">
        <v>162</v>
      </c>
    </row>
    <row r="7" spans="2:7" ht="15" thickBot="1">
      <c r="B7" s="50">
        <v>5</v>
      </c>
      <c r="C7" s="54">
        <v>4009310000</v>
      </c>
      <c r="D7" s="52" t="s">
        <v>161</v>
      </c>
      <c r="E7" s="56">
        <v>0.15</v>
      </c>
      <c r="F7" s="52" t="s">
        <v>156</v>
      </c>
      <c r="G7" s="54" t="s">
        <v>163</v>
      </c>
    </row>
    <row r="8" spans="2:7" ht="15" thickBot="1">
      <c r="B8" s="50">
        <v>6</v>
      </c>
      <c r="C8" s="54">
        <v>4009310000</v>
      </c>
      <c r="D8" s="52" t="s">
        <v>161</v>
      </c>
      <c r="E8" s="56">
        <v>0.15</v>
      </c>
      <c r="F8" s="52" t="s">
        <v>156</v>
      </c>
      <c r="G8" s="54" t="s">
        <v>164</v>
      </c>
    </row>
    <row r="9" spans="2:7" ht="15" thickBot="1">
      <c r="B9" s="50">
        <v>7</v>
      </c>
      <c r="C9" s="54">
        <v>4009310000</v>
      </c>
      <c r="D9" s="52" t="s">
        <v>161</v>
      </c>
      <c r="E9" s="56">
        <v>0.15</v>
      </c>
      <c r="F9" s="52" t="s">
        <v>156</v>
      </c>
      <c r="G9" s="54" t="s">
        <v>165</v>
      </c>
    </row>
    <row r="10" spans="2:7" ht="15" thickBot="1">
      <c r="B10" s="50">
        <v>8</v>
      </c>
      <c r="C10" s="54">
        <v>7307990090</v>
      </c>
      <c r="D10" s="54" t="s">
        <v>166</v>
      </c>
      <c r="E10" s="57">
        <v>0.05</v>
      </c>
      <c r="F10" s="54" t="s">
        <v>156</v>
      </c>
      <c r="G10" s="54" t="s">
        <v>167</v>
      </c>
    </row>
    <row r="11" spans="2:7" ht="15" thickBot="1">
      <c r="B11" s="50">
        <v>9</v>
      </c>
      <c r="C11" s="54">
        <v>7307990090</v>
      </c>
      <c r="D11" s="54" t="s">
        <v>166</v>
      </c>
      <c r="E11" s="57">
        <v>0.05</v>
      </c>
      <c r="F11" s="54" t="s">
        <v>156</v>
      </c>
      <c r="G11" s="54" t="s">
        <v>168</v>
      </c>
    </row>
    <row r="12" spans="2:7" ht="15" thickBot="1">
      <c r="B12" s="50">
        <v>10</v>
      </c>
      <c r="C12" s="54">
        <v>7307990090</v>
      </c>
      <c r="D12" s="54" t="s">
        <v>166</v>
      </c>
      <c r="E12" s="57">
        <v>0.05</v>
      </c>
      <c r="F12" s="54" t="s">
        <v>156</v>
      </c>
      <c r="G12" s="54" t="s">
        <v>169</v>
      </c>
    </row>
    <row r="13" spans="2:7" ht="15" thickBot="1">
      <c r="B13" s="50">
        <v>11</v>
      </c>
      <c r="C13" s="54">
        <v>7307990090</v>
      </c>
      <c r="D13" s="54" t="s">
        <v>166</v>
      </c>
      <c r="E13" s="57">
        <v>0.05</v>
      </c>
      <c r="F13" s="54" t="s">
        <v>156</v>
      </c>
      <c r="G13" s="54" t="s">
        <v>170</v>
      </c>
    </row>
    <row r="14" spans="2:7" ht="15" thickBot="1">
      <c r="B14" s="50">
        <v>12</v>
      </c>
      <c r="C14" s="54">
        <v>7307990090</v>
      </c>
      <c r="D14" s="54" t="s">
        <v>166</v>
      </c>
      <c r="E14" s="57">
        <v>0.05</v>
      </c>
      <c r="F14" s="54" t="s">
        <v>156</v>
      </c>
      <c r="G14" s="54" t="s">
        <v>171</v>
      </c>
    </row>
    <row r="15" spans="2:7" ht="15" thickBot="1">
      <c r="B15" s="50">
        <v>13</v>
      </c>
      <c r="C15" s="54">
        <v>8207198000</v>
      </c>
      <c r="D15" s="52" t="s">
        <v>172</v>
      </c>
      <c r="E15" s="54">
        <v>5</v>
      </c>
      <c r="F15" s="54" t="s">
        <v>156</v>
      </c>
      <c r="G15" s="54" t="s">
        <v>173</v>
      </c>
    </row>
    <row r="16" spans="2:7" ht="15" thickBot="1">
      <c r="B16" s="50">
        <v>14</v>
      </c>
      <c r="C16" s="54">
        <v>8207198000</v>
      </c>
      <c r="D16" s="52" t="s">
        <v>172</v>
      </c>
      <c r="E16" s="54">
        <v>5</v>
      </c>
      <c r="F16" s="54" t="s">
        <v>156</v>
      </c>
      <c r="G16" s="54" t="s">
        <v>174</v>
      </c>
    </row>
    <row r="17" spans="2:7" ht="15" thickBot="1">
      <c r="B17" s="50">
        <v>15</v>
      </c>
      <c r="C17" s="54">
        <v>8207198000</v>
      </c>
      <c r="D17" s="52" t="s">
        <v>175</v>
      </c>
      <c r="E17" s="54">
        <v>5</v>
      </c>
      <c r="F17" s="54" t="s">
        <v>156</v>
      </c>
      <c r="G17" s="54" t="s">
        <v>176</v>
      </c>
    </row>
    <row r="18" spans="2:7" ht="15" thickBot="1">
      <c r="B18" s="50">
        <v>16</v>
      </c>
      <c r="C18" s="54">
        <v>7326909000</v>
      </c>
      <c r="D18" s="52" t="s">
        <v>177</v>
      </c>
      <c r="E18" s="54">
        <v>25</v>
      </c>
      <c r="F18" s="54" t="s">
        <v>156</v>
      </c>
      <c r="G18" s="54" t="s">
        <v>178</v>
      </c>
    </row>
    <row r="19" spans="2:7" ht="15" thickBot="1">
      <c r="B19" s="50">
        <v>17</v>
      </c>
      <c r="C19" s="54">
        <v>7326909000</v>
      </c>
      <c r="D19" s="54" t="s">
        <v>177</v>
      </c>
      <c r="E19" s="54">
        <v>25</v>
      </c>
      <c r="F19" s="54" t="s">
        <v>156</v>
      </c>
      <c r="G19" s="54" t="s">
        <v>179</v>
      </c>
    </row>
    <row r="20" spans="2:7" ht="15" thickBot="1">
      <c r="B20" s="50">
        <v>18</v>
      </c>
      <c r="C20" s="54">
        <v>7326909000</v>
      </c>
      <c r="D20" s="54" t="s">
        <v>177</v>
      </c>
      <c r="E20" s="54">
        <v>25</v>
      </c>
      <c r="F20" s="54" t="s">
        <v>156</v>
      </c>
      <c r="G20" s="54" t="s">
        <v>180</v>
      </c>
    </row>
    <row r="21" spans="2:7" ht="15" thickBot="1">
      <c r="B21" s="50">
        <v>19</v>
      </c>
      <c r="C21" s="54">
        <v>7326909000</v>
      </c>
      <c r="D21" s="54" t="s">
        <v>177</v>
      </c>
      <c r="E21" s="54">
        <v>25</v>
      </c>
      <c r="F21" s="54" t="s">
        <v>156</v>
      </c>
      <c r="G21" s="54" t="s">
        <v>181</v>
      </c>
    </row>
    <row r="22" spans="2:7" ht="15" thickBot="1">
      <c r="B22" s="50">
        <v>20</v>
      </c>
      <c r="C22" s="54">
        <v>7326909000</v>
      </c>
      <c r="D22" s="54" t="s">
        <v>177</v>
      </c>
      <c r="E22" s="54">
        <v>25</v>
      </c>
      <c r="F22" s="54" t="s">
        <v>156</v>
      </c>
      <c r="G22" s="54" t="s">
        <v>182</v>
      </c>
    </row>
    <row r="23" spans="2:7" ht="15" thickBot="1">
      <c r="B23" s="50">
        <v>21</v>
      </c>
      <c r="C23" s="54">
        <v>7326909000</v>
      </c>
      <c r="D23" s="54" t="s">
        <v>183</v>
      </c>
      <c r="E23" s="54">
        <v>25</v>
      </c>
      <c r="F23" s="54" t="s">
        <v>156</v>
      </c>
      <c r="G23" s="54" t="s">
        <v>184</v>
      </c>
    </row>
    <row r="24" spans="2:7" ht="15" thickBot="1">
      <c r="B24" s="50">
        <v>22</v>
      </c>
      <c r="C24" s="54">
        <v>7326909000</v>
      </c>
      <c r="D24" s="54" t="s">
        <v>183</v>
      </c>
      <c r="E24" s="54">
        <v>25</v>
      </c>
      <c r="F24" s="54" t="s">
        <v>156</v>
      </c>
      <c r="G24" s="54" t="s">
        <v>179</v>
      </c>
    </row>
    <row r="25" spans="2:7" ht="15" thickBot="1">
      <c r="B25" s="50">
        <v>23</v>
      </c>
      <c r="C25" s="54">
        <v>7326909000</v>
      </c>
      <c r="D25" s="54" t="s">
        <v>183</v>
      </c>
      <c r="E25" s="54">
        <v>25</v>
      </c>
      <c r="F25" s="54" t="s">
        <v>156</v>
      </c>
      <c r="G25" s="54" t="s">
        <v>185</v>
      </c>
    </row>
    <row r="26" spans="2:7" ht="15" thickBot="1">
      <c r="B26" s="50">
        <v>24</v>
      </c>
      <c r="C26" s="54">
        <v>7326909000</v>
      </c>
      <c r="D26" s="52" t="s">
        <v>183</v>
      </c>
      <c r="E26" s="54">
        <v>25</v>
      </c>
      <c r="F26" s="54" t="s">
        <v>156</v>
      </c>
      <c r="G26" s="54" t="s">
        <v>186</v>
      </c>
    </row>
    <row r="27" spans="2:7" ht="15" thickBot="1">
      <c r="B27" s="50">
        <v>25</v>
      </c>
      <c r="C27" s="54">
        <v>7326909000</v>
      </c>
      <c r="D27" s="52" t="s">
        <v>183</v>
      </c>
      <c r="E27" s="54">
        <v>25</v>
      </c>
      <c r="F27" s="54" t="s">
        <v>156</v>
      </c>
      <c r="G27" s="54" t="s">
        <v>187</v>
      </c>
    </row>
    <row r="28" spans="2:7" ht="15" thickBot="1">
      <c r="B28" s="50">
        <v>26</v>
      </c>
      <c r="C28" s="54">
        <v>8481400000</v>
      </c>
      <c r="D28" s="52" t="s">
        <v>188</v>
      </c>
      <c r="E28" s="53">
        <v>0</v>
      </c>
      <c r="F28" s="58" t="s">
        <v>189</v>
      </c>
      <c r="G28" s="54" t="s">
        <v>190</v>
      </c>
    </row>
    <row r="29" spans="2:7" ht="15" thickBot="1">
      <c r="B29" s="50">
        <v>27</v>
      </c>
      <c r="C29" s="54">
        <v>7307990090</v>
      </c>
      <c r="D29" s="52" t="s">
        <v>191</v>
      </c>
      <c r="E29" s="57">
        <v>0.05</v>
      </c>
      <c r="F29" s="54" t="s">
        <v>156</v>
      </c>
      <c r="G29" s="54" t="s">
        <v>192</v>
      </c>
    </row>
    <row r="30" spans="2:7" ht="15" thickBot="1">
      <c r="B30" s="50">
        <v>28</v>
      </c>
      <c r="C30" s="51">
        <v>8413920000</v>
      </c>
      <c r="D30" s="52" t="s">
        <v>193</v>
      </c>
      <c r="E30" s="54">
        <v>20</v>
      </c>
      <c r="F30" s="54" t="s">
        <v>156</v>
      </c>
      <c r="G30" s="54" t="s">
        <v>194</v>
      </c>
    </row>
    <row r="31" spans="2:7" ht="15" thickBot="1">
      <c r="B31" s="50">
        <v>29</v>
      </c>
      <c r="C31" s="54">
        <v>8413820000</v>
      </c>
      <c r="D31" s="52" t="s">
        <v>195</v>
      </c>
      <c r="E31" s="59">
        <v>0.25</v>
      </c>
      <c r="F31" s="60" t="s">
        <v>156</v>
      </c>
      <c r="G31" s="54" t="s">
        <v>196</v>
      </c>
    </row>
    <row r="32" spans="2:7" ht="15" thickBot="1">
      <c r="B32" s="50">
        <v>30</v>
      </c>
      <c r="C32" s="54">
        <v>8481909000</v>
      </c>
      <c r="D32" s="54" t="s">
        <v>197</v>
      </c>
      <c r="E32" s="54">
        <v>20</v>
      </c>
      <c r="F32" s="54" t="s">
        <v>156</v>
      </c>
      <c r="G32" s="54" t="s">
        <v>198</v>
      </c>
    </row>
    <row r="33" spans="2:7" ht="15" thickBot="1">
      <c r="B33" s="50">
        <v>31</v>
      </c>
      <c r="C33" s="54">
        <v>8413920000</v>
      </c>
      <c r="D33" s="54" t="s">
        <v>199</v>
      </c>
      <c r="E33" s="54">
        <v>20</v>
      </c>
      <c r="F33" s="54" t="s">
        <v>156</v>
      </c>
      <c r="G33" s="54" t="s">
        <v>200</v>
      </c>
    </row>
    <row r="34" spans="2:7" ht="15" thickBot="1">
      <c r="B34" s="50">
        <v>32</v>
      </c>
      <c r="C34" s="60">
        <v>8413920000</v>
      </c>
      <c r="D34" s="54" t="s">
        <v>201</v>
      </c>
      <c r="E34" s="54">
        <v>20</v>
      </c>
      <c r="F34" s="54" t="s">
        <v>156</v>
      </c>
      <c r="G34" s="54" t="s">
        <v>202</v>
      </c>
    </row>
    <row r="35" spans="2:7" ht="15" thickBot="1">
      <c r="B35" s="50">
        <v>33</v>
      </c>
      <c r="C35" s="52">
        <v>7318159000</v>
      </c>
      <c r="D35" s="52" t="s">
        <v>203</v>
      </c>
      <c r="E35" s="56">
        <v>0.15</v>
      </c>
      <c r="F35" s="52" t="s">
        <v>204</v>
      </c>
      <c r="G35" s="54" t="s">
        <v>205</v>
      </c>
    </row>
    <row r="36" spans="2:7" ht="15" thickBot="1">
      <c r="B36" s="50">
        <v>34</v>
      </c>
      <c r="C36" s="61">
        <v>8413820000</v>
      </c>
      <c r="D36" s="54" t="s">
        <v>206</v>
      </c>
      <c r="E36" s="59">
        <v>0.25</v>
      </c>
      <c r="F36" s="60" t="s">
        <v>156</v>
      </c>
      <c r="G36" s="54" t="s">
        <v>207</v>
      </c>
    </row>
    <row r="37" spans="2:7" ht="15" thickBot="1">
      <c r="B37" s="50">
        <v>35</v>
      </c>
      <c r="C37" s="54">
        <v>8204120000</v>
      </c>
      <c r="D37" s="54" t="s">
        <v>208</v>
      </c>
      <c r="E37" s="54">
        <v>5</v>
      </c>
      <c r="F37" s="54" t="s">
        <v>156</v>
      </c>
      <c r="G37" s="54" t="s">
        <v>209</v>
      </c>
    </row>
    <row r="38" spans="2:7" ht="15" thickBot="1">
      <c r="B38" s="50">
        <v>36</v>
      </c>
      <c r="C38" s="54">
        <v>8204120000</v>
      </c>
      <c r="D38" s="54" t="s">
        <v>208</v>
      </c>
      <c r="E38" s="54">
        <v>5</v>
      </c>
      <c r="F38" s="54" t="s">
        <v>156</v>
      </c>
      <c r="G38" s="54" t="s">
        <v>210</v>
      </c>
    </row>
    <row r="39" spans="2:7" ht="15" thickBot="1">
      <c r="B39" s="50">
        <v>37</v>
      </c>
      <c r="C39" s="54">
        <v>8204120000</v>
      </c>
      <c r="D39" s="54" t="s">
        <v>211</v>
      </c>
      <c r="E39" s="54">
        <v>5</v>
      </c>
      <c r="F39" s="54" t="s">
        <v>156</v>
      </c>
      <c r="G39" s="54" t="s">
        <v>212</v>
      </c>
    </row>
    <row r="40" spans="2:7" ht="15" thickBot="1">
      <c r="B40" s="50">
        <v>38</v>
      </c>
      <c r="C40" s="51">
        <v>7318160000</v>
      </c>
      <c r="D40" s="54" t="s">
        <v>213</v>
      </c>
      <c r="E40" s="59">
        <v>0.15</v>
      </c>
      <c r="F40" s="60" t="s">
        <v>214</v>
      </c>
      <c r="G40" s="54" t="s">
        <v>215</v>
      </c>
    </row>
    <row r="41" spans="2:7" ht="15" thickBot="1">
      <c r="B41" s="50">
        <v>39</v>
      </c>
      <c r="C41" s="51">
        <v>7318160000</v>
      </c>
      <c r="D41" s="54" t="s">
        <v>213</v>
      </c>
      <c r="E41" s="59">
        <v>0.15</v>
      </c>
      <c r="F41" s="60" t="s">
        <v>214</v>
      </c>
      <c r="G41" s="54" t="s">
        <v>216</v>
      </c>
    </row>
    <row r="42" spans="2:7" ht="15" thickBot="1">
      <c r="B42" s="50">
        <v>40</v>
      </c>
      <c r="C42" s="51">
        <v>8204120000</v>
      </c>
      <c r="D42" s="54" t="s">
        <v>217</v>
      </c>
      <c r="E42" s="54">
        <v>5</v>
      </c>
      <c r="F42" s="54" t="s">
        <v>156</v>
      </c>
      <c r="G42" s="54" t="s">
        <v>218</v>
      </c>
    </row>
    <row r="43" spans="2:7" ht="15" thickBot="1">
      <c r="B43" s="50">
        <v>41</v>
      </c>
      <c r="C43" s="51">
        <v>8204120000</v>
      </c>
      <c r="D43" s="54" t="s">
        <v>219</v>
      </c>
      <c r="E43" s="54">
        <v>5</v>
      </c>
      <c r="F43" s="54" t="s">
        <v>156</v>
      </c>
      <c r="G43" s="54" t="s">
        <v>220</v>
      </c>
    </row>
    <row r="44" spans="2:7" ht="15" thickBot="1">
      <c r="B44" s="50">
        <v>42</v>
      </c>
      <c r="C44" s="51">
        <v>8204120000</v>
      </c>
      <c r="D44" s="54" t="s">
        <v>219</v>
      </c>
      <c r="E44" s="54">
        <v>5</v>
      </c>
      <c r="F44" s="54" t="s">
        <v>156</v>
      </c>
      <c r="G44" s="54" t="s">
        <v>221</v>
      </c>
    </row>
    <row r="45" spans="2:7" ht="15" thickBot="1">
      <c r="B45" s="50">
        <v>43</v>
      </c>
      <c r="C45" s="54">
        <v>7307990090</v>
      </c>
      <c r="D45" s="54" t="s">
        <v>222</v>
      </c>
      <c r="E45" s="57">
        <v>0.05</v>
      </c>
      <c r="F45" s="54" t="s">
        <v>156</v>
      </c>
      <c r="G45" s="54" t="s">
        <v>223</v>
      </c>
    </row>
    <row r="46" spans="2:7" ht="15" thickBot="1">
      <c r="B46" s="50">
        <v>44</v>
      </c>
      <c r="C46" s="54">
        <v>7307990090</v>
      </c>
      <c r="D46" s="54" t="s">
        <v>222</v>
      </c>
      <c r="E46" s="57">
        <v>0.05</v>
      </c>
      <c r="F46" s="54" t="s">
        <v>156</v>
      </c>
      <c r="G46" s="54" t="s">
        <v>224</v>
      </c>
    </row>
    <row r="47" spans="2:7" ht="15" thickBot="1">
      <c r="B47" s="50">
        <v>45</v>
      </c>
      <c r="C47" s="54">
        <v>7307990090</v>
      </c>
      <c r="D47" s="54" t="s">
        <v>222</v>
      </c>
      <c r="E47" s="57">
        <v>0.05</v>
      </c>
      <c r="F47" s="54" t="s">
        <v>156</v>
      </c>
      <c r="G47" s="54" t="s">
        <v>225</v>
      </c>
    </row>
    <row r="48" spans="2:7" ht="15" thickBot="1">
      <c r="B48" s="50">
        <v>46</v>
      </c>
      <c r="C48" s="54">
        <v>8421991000</v>
      </c>
      <c r="D48" s="52" t="s">
        <v>226</v>
      </c>
      <c r="E48" s="61">
        <v>15</v>
      </c>
      <c r="F48" s="54" t="s">
        <v>156</v>
      </c>
      <c r="G48" s="54" t="s">
        <v>227</v>
      </c>
    </row>
    <row r="49" spans="2:7" ht="15" thickBot="1">
      <c r="B49" s="50">
        <v>47</v>
      </c>
      <c r="C49" s="54">
        <v>8421991000</v>
      </c>
      <c r="D49" s="52" t="s">
        <v>228</v>
      </c>
      <c r="E49" s="61">
        <v>15</v>
      </c>
      <c r="F49" s="54" t="s">
        <v>156</v>
      </c>
      <c r="G49" s="54" t="s">
        <v>229</v>
      </c>
    </row>
    <row r="50" spans="2:7" ht="15" thickBot="1">
      <c r="B50" s="50">
        <v>48</v>
      </c>
      <c r="C50" s="54">
        <v>8421991000</v>
      </c>
      <c r="D50" s="52" t="s">
        <v>230</v>
      </c>
      <c r="E50" s="61">
        <v>15</v>
      </c>
      <c r="F50" s="54" t="s">
        <v>156</v>
      </c>
      <c r="G50" s="54" t="s">
        <v>231</v>
      </c>
    </row>
    <row r="51" spans="2:7" ht="15" thickBot="1">
      <c r="B51" s="50">
        <v>49</v>
      </c>
      <c r="C51" s="54">
        <v>8421991000</v>
      </c>
      <c r="D51" s="52" t="s">
        <v>232</v>
      </c>
      <c r="E51" s="61">
        <v>15</v>
      </c>
      <c r="F51" s="54" t="s">
        <v>156</v>
      </c>
      <c r="G51" s="54" t="s">
        <v>233</v>
      </c>
    </row>
    <row r="52" spans="2:7" ht="15" thickBot="1">
      <c r="B52" s="50">
        <v>50</v>
      </c>
      <c r="C52" s="54">
        <v>8421991000</v>
      </c>
      <c r="D52" s="52" t="s">
        <v>234</v>
      </c>
      <c r="E52" s="61">
        <v>15</v>
      </c>
      <c r="F52" s="54" t="s">
        <v>156</v>
      </c>
      <c r="G52" s="54" t="s">
        <v>235</v>
      </c>
    </row>
    <row r="53" spans="2:7" ht="15" thickBot="1">
      <c r="B53" s="50">
        <v>51</v>
      </c>
      <c r="C53" s="54">
        <v>7610900000</v>
      </c>
      <c r="D53" s="52" t="s">
        <v>236</v>
      </c>
      <c r="E53" s="54">
        <v>25</v>
      </c>
      <c r="F53" s="54" t="s">
        <v>156</v>
      </c>
      <c r="G53" s="54" t="s">
        <v>237</v>
      </c>
    </row>
    <row r="54" spans="2:7" ht="15" thickBot="1">
      <c r="B54" s="50">
        <v>52</v>
      </c>
      <c r="C54" s="54">
        <v>7304230000</v>
      </c>
      <c r="D54" s="52" t="s">
        <v>238</v>
      </c>
      <c r="E54" s="54">
        <v>0</v>
      </c>
      <c r="F54" s="54" t="s">
        <v>156</v>
      </c>
      <c r="G54" s="54" t="s">
        <v>239</v>
      </c>
    </row>
    <row r="55" spans="2:7" ht="15" thickBot="1">
      <c r="B55" s="50">
        <v>53</v>
      </c>
      <c r="C55" s="54">
        <v>7304230000</v>
      </c>
      <c r="D55" s="52" t="s">
        <v>240</v>
      </c>
      <c r="E55" s="54">
        <v>0</v>
      </c>
      <c r="F55" s="54" t="s">
        <v>156</v>
      </c>
      <c r="G55" s="54" t="s">
        <v>241</v>
      </c>
    </row>
    <row r="56" spans="2:7" ht="15" thickBot="1">
      <c r="B56" s="50">
        <v>54</v>
      </c>
      <c r="C56" s="54">
        <v>7304230000</v>
      </c>
      <c r="D56" s="52" t="s">
        <v>242</v>
      </c>
      <c r="E56" s="54">
        <v>0</v>
      </c>
      <c r="F56" s="54" t="s">
        <v>156</v>
      </c>
      <c r="G56" s="54" t="s">
        <v>243</v>
      </c>
    </row>
    <row r="57" spans="2:7" ht="15" thickBot="1">
      <c r="B57" s="50">
        <v>55</v>
      </c>
      <c r="C57" s="54">
        <v>8207198000</v>
      </c>
      <c r="D57" s="52" t="s">
        <v>244</v>
      </c>
      <c r="E57" s="54">
        <v>5</v>
      </c>
      <c r="F57" s="54" t="s">
        <v>156</v>
      </c>
      <c r="G57" s="54" t="s">
        <v>245</v>
      </c>
    </row>
    <row r="58" spans="2:7" ht="15" thickBot="1">
      <c r="B58" s="50">
        <v>56</v>
      </c>
      <c r="C58" s="54">
        <v>8207198000</v>
      </c>
      <c r="D58" s="52" t="s">
        <v>246</v>
      </c>
      <c r="E58" s="54">
        <v>5</v>
      </c>
      <c r="F58" s="54" t="s">
        <v>156</v>
      </c>
      <c r="G58" s="54" t="s">
        <v>247</v>
      </c>
    </row>
    <row r="59" spans="2:7" ht="15" thickBot="1">
      <c r="B59" s="50">
        <v>57</v>
      </c>
      <c r="C59" s="54">
        <v>8431109000</v>
      </c>
      <c r="D59" s="52" t="s">
        <v>65</v>
      </c>
      <c r="E59" s="62">
        <v>10</v>
      </c>
      <c r="F59" s="54" t="s">
        <v>156</v>
      </c>
      <c r="G59" s="54" t="s">
        <v>248</v>
      </c>
    </row>
    <row r="60" spans="2:7" ht="15" thickBot="1">
      <c r="B60" s="50">
        <v>58</v>
      </c>
      <c r="C60" s="54">
        <v>8409999900</v>
      </c>
      <c r="D60" s="52" t="s">
        <v>249</v>
      </c>
      <c r="E60" s="54">
        <v>0</v>
      </c>
      <c r="F60" s="54" t="s">
        <v>156</v>
      </c>
      <c r="G60" s="54" t="s">
        <v>250</v>
      </c>
    </row>
    <row r="61" spans="2:7" ht="15" thickBot="1">
      <c r="B61" s="50">
        <v>59</v>
      </c>
      <c r="C61" s="54">
        <v>8511409000</v>
      </c>
      <c r="D61" s="52" t="s">
        <v>251</v>
      </c>
      <c r="E61" s="54">
        <v>0</v>
      </c>
      <c r="F61" s="54" t="s">
        <v>156</v>
      </c>
      <c r="G61" s="54" t="s">
        <v>252</v>
      </c>
    </row>
    <row r="62" spans="2:7" ht="15" thickBot="1">
      <c r="B62" s="50">
        <v>60</v>
      </c>
      <c r="C62" s="54">
        <v>8511509000</v>
      </c>
      <c r="D62" s="52" t="s">
        <v>253</v>
      </c>
      <c r="E62" s="54">
        <v>0</v>
      </c>
      <c r="F62" s="54" t="s">
        <v>156</v>
      </c>
      <c r="G62" s="54" t="s">
        <v>254</v>
      </c>
    </row>
    <row r="63" spans="2:7" ht="15" thickBot="1">
      <c r="B63" s="50">
        <v>61</v>
      </c>
      <c r="C63" s="54">
        <v>8511409000</v>
      </c>
      <c r="D63" s="52" t="s">
        <v>255</v>
      </c>
      <c r="E63" s="54">
        <v>0</v>
      </c>
      <c r="F63" s="54" t="s">
        <v>156</v>
      </c>
      <c r="G63" s="54" t="s">
        <v>256</v>
      </c>
    </row>
    <row r="64" spans="2:7" ht="15" thickBot="1">
      <c r="B64" s="50">
        <v>62</v>
      </c>
      <c r="C64" s="54">
        <v>8421991000</v>
      </c>
      <c r="D64" s="52" t="s">
        <v>257</v>
      </c>
      <c r="E64" s="61">
        <v>15</v>
      </c>
      <c r="F64" s="54" t="s">
        <v>156</v>
      </c>
      <c r="G64" s="54" t="s">
        <v>258</v>
      </c>
    </row>
    <row r="65" spans="2:7" ht="15" thickBot="1">
      <c r="B65" s="50">
        <v>63</v>
      </c>
      <c r="C65" s="54">
        <v>8421991000</v>
      </c>
      <c r="D65" s="54" t="s">
        <v>259</v>
      </c>
      <c r="E65" s="61">
        <v>15</v>
      </c>
      <c r="F65" s="54" t="s">
        <v>156</v>
      </c>
      <c r="G65" s="54" t="s">
        <v>260</v>
      </c>
    </row>
    <row r="66" spans="2:7" ht="15" thickBot="1">
      <c r="B66" s="50">
        <v>64</v>
      </c>
      <c r="C66" s="54">
        <v>9031809000</v>
      </c>
      <c r="D66" s="52" t="s">
        <v>261</v>
      </c>
      <c r="E66" s="54">
        <v>5</v>
      </c>
      <c r="F66" s="54" t="s">
        <v>156</v>
      </c>
      <c r="G66" s="54" t="s">
        <v>262</v>
      </c>
    </row>
    <row r="67" spans="2:7" ht="15" thickBot="1">
      <c r="B67" s="50">
        <v>65</v>
      </c>
      <c r="C67" s="54">
        <v>8409997000</v>
      </c>
      <c r="D67" s="54" t="s">
        <v>263</v>
      </c>
      <c r="E67" s="56">
        <v>0</v>
      </c>
      <c r="F67" s="52" t="s">
        <v>156</v>
      </c>
      <c r="G67" s="54" t="s">
        <v>264</v>
      </c>
    </row>
    <row r="68" spans="2:7" ht="15" thickBot="1">
      <c r="B68" s="50">
        <v>66</v>
      </c>
      <c r="C68" s="54">
        <v>8409997000</v>
      </c>
      <c r="D68" s="54" t="s">
        <v>265</v>
      </c>
      <c r="E68" s="56">
        <v>0</v>
      </c>
      <c r="F68" s="52" t="s">
        <v>156</v>
      </c>
      <c r="G68" s="54" t="s">
        <v>266</v>
      </c>
    </row>
    <row r="69" spans="2:7" ht="15" thickBot="1">
      <c r="B69" s="50">
        <v>67</v>
      </c>
      <c r="C69" s="61">
        <v>8413820000</v>
      </c>
      <c r="D69" s="54" t="s">
        <v>267</v>
      </c>
      <c r="E69" s="59">
        <v>0.25</v>
      </c>
      <c r="F69" s="60" t="s">
        <v>156</v>
      </c>
      <c r="G69" s="54" t="s">
        <v>268</v>
      </c>
    </row>
    <row r="70" spans="2:7" ht="15" thickBot="1">
      <c r="B70" s="50">
        <v>68</v>
      </c>
      <c r="C70" s="61">
        <v>8413820000</v>
      </c>
      <c r="D70" s="54" t="s">
        <v>269</v>
      </c>
      <c r="E70" s="59">
        <v>0.25</v>
      </c>
      <c r="F70" s="60" t="s">
        <v>156</v>
      </c>
      <c r="G70" s="54" t="s">
        <v>270</v>
      </c>
    </row>
    <row r="71" spans="2:7" ht="15" thickBot="1">
      <c r="B71" s="50">
        <v>69</v>
      </c>
      <c r="C71" s="54">
        <v>8409997000</v>
      </c>
      <c r="D71" s="54" t="s">
        <v>271</v>
      </c>
      <c r="E71" s="56">
        <v>0</v>
      </c>
      <c r="F71" s="52" t="s">
        <v>156</v>
      </c>
      <c r="G71" s="54" t="s">
        <v>272</v>
      </c>
    </row>
    <row r="72" spans="2:7" ht="15" thickBot="1">
      <c r="B72" s="50">
        <v>70</v>
      </c>
      <c r="C72" s="54">
        <v>8409997000</v>
      </c>
      <c r="D72" s="54" t="s">
        <v>273</v>
      </c>
      <c r="E72" s="56">
        <v>0</v>
      </c>
      <c r="F72" s="52" t="s">
        <v>156</v>
      </c>
      <c r="G72" s="54" t="s">
        <v>274</v>
      </c>
    </row>
    <row r="73" spans="2:7" ht="15" thickBot="1">
      <c r="B73" s="50">
        <v>71</v>
      </c>
      <c r="C73" s="54">
        <v>8409997000</v>
      </c>
      <c r="D73" s="54" t="s">
        <v>275</v>
      </c>
      <c r="E73" s="56">
        <v>0</v>
      </c>
      <c r="F73" s="52" t="s">
        <v>156</v>
      </c>
      <c r="G73" s="54" t="s">
        <v>276</v>
      </c>
    </row>
    <row r="74" spans="2:7" ht="15" thickBot="1">
      <c r="B74" s="50">
        <v>72</v>
      </c>
      <c r="C74" s="54">
        <v>8409997000</v>
      </c>
      <c r="D74" s="52" t="s">
        <v>277</v>
      </c>
      <c r="E74" s="56">
        <v>0</v>
      </c>
      <c r="F74" s="52" t="s">
        <v>156</v>
      </c>
      <c r="G74" s="54" t="s">
        <v>278</v>
      </c>
    </row>
    <row r="75" spans="2:7" ht="15" thickBot="1">
      <c r="B75" s="50">
        <v>73</v>
      </c>
      <c r="C75" s="54">
        <v>8409997000</v>
      </c>
      <c r="D75" s="52" t="s">
        <v>279</v>
      </c>
      <c r="E75" s="56">
        <v>0</v>
      </c>
      <c r="F75" s="52" t="s">
        <v>156</v>
      </c>
      <c r="G75" s="54" t="s">
        <v>280</v>
      </c>
    </row>
    <row r="76" spans="2:7" ht="15" thickBot="1">
      <c r="B76" s="50">
        <v>74</v>
      </c>
      <c r="C76" s="54">
        <v>7307990090</v>
      </c>
      <c r="D76" s="54" t="s">
        <v>281</v>
      </c>
      <c r="E76" s="57">
        <v>0.05</v>
      </c>
      <c r="F76" s="54" t="s">
        <v>156</v>
      </c>
      <c r="G76" s="54" t="s">
        <v>282</v>
      </c>
    </row>
    <row r="77" spans="2:7" ht="15" thickBot="1">
      <c r="B77" s="50">
        <v>75</v>
      </c>
      <c r="C77" s="54">
        <v>8409999900</v>
      </c>
      <c r="D77" s="54" t="s">
        <v>283</v>
      </c>
      <c r="E77" s="54">
        <v>0</v>
      </c>
      <c r="F77" s="54" t="s">
        <v>156</v>
      </c>
      <c r="G77" s="54" t="s">
        <v>284</v>
      </c>
    </row>
    <row r="78" spans="2:7" ht="15" thickBot="1">
      <c r="B78" s="50">
        <v>76</v>
      </c>
      <c r="C78" s="54">
        <v>8409997000</v>
      </c>
      <c r="D78" s="52" t="s">
        <v>285</v>
      </c>
      <c r="E78" s="56">
        <v>0</v>
      </c>
      <c r="F78" s="52" t="s">
        <v>156</v>
      </c>
      <c r="G78" s="54" t="s">
        <v>286</v>
      </c>
    </row>
    <row r="79" spans="2:7" ht="15" thickBot="1">
      <c r="B79" s="50">
        <v>77</v>
      </c>
      <c r="C79" s="54">
        <v>8409997000</v>
      </c>
      <c r="D79" s="52" t="s">
        <v>285</v>
      </c>
      <c r="E79" s="56">
        <v>0</v>
      </c>
      <c r="F79" s="52" t="s">
        <v>156</v>
      </c>
      <c r="G79" s="54" t="s">
        <v>287</v>
      </c>
    </row>
    <row r="80" spans="2:7" ht="15" thickBot="1">
      <c r="B80" s="50">
        <v>78</v>
      </c>
      <c r="C80" s="54">
        <v>8413820000</v>
      </c>
      <c r="D80" s="54" t="s">
        <v>288</v>
      </c>
      <c r="E80" s="59">
        <v>0.25</v>
      </c>
      <c r="F80" s="60" t="s">
        <v>156</v>
      </c>
      <c r="G80" s="54" t="s">
        <v>289</v>
      </c>
    </row>
    <row r="81" spans="2:7" ht="15" thickBot="1">
      <c r="B81" s="50">
        <v>79</v>
      </c>
      <c r="C81" s="54">
        <v>8207198000</v>
      </c>
      <c r="D81" s="54" t="s">
        <v>290</v>
      </c>
      <c r="E81" s="54">
        <v>5</v>
      </c>
      <c r="F81" s="54" t="s">
        <v>156</v>
      </c>
      <c r="G81" s="54" t="s">
        <v>291</v>
      </c>
    </row>
    <row r="82" spans="2:7" ht="15" thickBot="1">
      <c r="B82" s="50">
        <v>80</v>
      </c>
      <c r="C82" s="54">
        <v>8413820000</v>
      </c>
      <c r="D82" s="54" t="s">
        <v>292</v>
      </c>
      <c r="E82" s="59">
        <v>0.25</v>
      </c>
      <c r="F82" s="60" t="s">
        <v>156</v>
      </c>
      <c r="G82" s="54" t="s">
        <v>293</v>
      </c>
    </row>
    <row r="83" spans="2:7" ht="15" thickBot="1">
      <c r="B83" s="50">
        <v>81</v>
      </c>
      <c r="C83" s="54">
        <v>8413820000</v>
      </c>
      <c r="D83" s="54" t="s">
        <v>294</v>
      </c>
      <c r="E83" s="59">
        <v>0.25</v>
      </c>
      <c r="F83" s="60" t="s">
        <v>156</v>
      </c>
      <c r="G83" s="54" t="s">
        <v>295</v>
      </c>
    </row>
    <row r="84" spans="2:7" ht="15" thickBot="1">
      <c r="B84" s="50">
        <v>82</v>
      </c>
      <c r="C84" s="54">
        <v>9026101200</v>
      </c>
      <c r="D84" s="52" t="s">
        <v>296</v>
      </c>
      <c r="E84" s="54">
        <v>5</v>
      </c>
      <c r="F84" s="54" t="s">
        <v>156</v>
      </c>
      <c r="G84" s="54" t="s">
        <v>297</v>
      </c>
    </row>
    <row r="85" spans="2:7" ht="15" thickBot="1">
      <c r="B85" s="50">
        <v>83</v>
      </c>
      <c r="C85" s="54">
        <v>8487902000</v>
      </c>
      <c r="D85" s="54" t="s">
        <v>298</v>
      </c>
      <c r="E85" s="61">
        <v>10</v>
      </c>
      <c r="F85" s="54" t="s">
        <v>156</v>
      </c>
      <c r="G85" s="54" t="s">
        <v>299</v>
      </c>
    </row>
    <row r="86" spans="2:7" ht="15" thickBot="1">
      <c r="B86" s="50">
        <v>84</v>
      </c>
      <c r="C86" s="54">
        <v>8487902000</v>
      </c>
      <c r="D86" s="54" t="s">
        <v>300</v>
      </c>
      <c r="E86" s="61">
        <v>10</v>
      </c>
      <c r="F86" s="54" t="s">
        <v>156</v>
      </c>
      <c r="G86" s="54" t="s">
        <v>301</v>
      </c>
    </row>
    <row r="87" spans="2:7" ht="15" thickBot="1">
      <c r="B87" s="50">
        <v>85</v>
      </c>
      <c r="C87" s="54">
        <v>8207198000</v>
      </c>
      <c r="D87" s="54" t="s">
        <v>302</v>
      </c>
      <c r="E87" s="54">
        <v>5</v>
      </c>
      <c r="F87" s="54" t="s">
        <v>156</v>
      </c>
      <c r="G87" s="54" t="s">
        <v>303</v>
      </c>
    </row>
    <row r="88" spans="2:7" ht="15" thickBot="1">
      <c r="B88" s="50">
        <v>86</v>
      </c>
      <c r="C88" s="54">
        <v>8207198000</v>
      </c>
      <c r="D88" s="54" t="s">
        <v>304</v>
      </c>
      <c r="E88" s="54">
        <v>5</v>
      </c>
      <c r="F88" s="54" t="s">
        <v>156</v>
      </c>
      <c r="G88" s="54" t="s">
        <v>305</v>
      </c>
    </row>
    <row r="89" spans="2:7" ht="15" thickBot="1">
      <c r="B89" s="50">
        <v>87</v>
      </c>
      <c r="C89" s="60">
        <v>7320209090</v>
      </c>
      <c r="D89" s="54" t="s">
        <v>306</v>
      </c>
      <c r="E89" s="59">
        <v>0.25</v>
      </c>
      <c r="F89" s="60" t="s">
        <v>156</v>
      </c>
      <c r="G89" s="54" t="s">
        <v>307</v>
      </c>
    </row>
    <row r="90" spans="2:7" ht="15" thickBot="1">
      <c r="B90" s="50">
        <v>88</v>
      </c>
      <c r="C90" s="60">
        <v>7307990090</v>
      </c>
      <c r="D90" s="54" t="s">
        <v>308</v>
      </c>
      <c r="E90" s="57">
        <v>0.05</v>
      </c>
      <c r="F90" s="54" t="s">
        <v>156</v>
      </c>
      <c r="G90" s="54" t="s">
        <v>309</v>
      </c>
    </row>
    <row r="91" spans="2:7" ht="15" thickBot="1">
      <c r="B91" s="50">
        <v>89</v>
      </c>
      <c r="C91" s="60">
        <v>7307990090</v>
      </c>
      <c r="D91" s="54" t="s">
        <v>310</v>
      </c>
      <c r="E91" s="57">
        <v>0.05</v>
      </c>
      <c r="F91" s="54" t="s">
        <v>156</v>
      </c>
      <c r="G91" s="54" t="s">
        <v>311</v>
      </c>
    </row>
    <row r="92" spans="2:7" ht="15" thickBot="1">
      <c r="B92" s="50">
        <v>90</v>
      </c>
      <c r="C92" s="54">
        <v>7307990090</v>
      </c>
      <c r="D92" s="54" t="s">
        <v>312</v>
      </c>
      <c r="E92" s="57">
        <v>0.05</v>
      </c>
      <c r="F92" s="54" t="s">
        <v>156</v>
      </c>
      <c r="G92" s="54" t="s">
        <v>313</v>
      </c>
    </row>
    <row r="93" spans="2:7" ht="15" thickBot="1">
      <c r="B93" s="50">
        <v>91</v>
      </c>
      <c r="C93" s="54">
        <v>7307990090</v>
      </c>
      <c r="D93" s="54" t="s">
        <v>314</v>
      </c>
      <c r="E93" s="57">
        <v>0.05</v>
      </c>
      <c r="F93" s="54" t="s">
        <v>156</v>
      </c>
      <c r="G93" s="54" t="s">
        <v>315</v>
      </c>
    </row>
    <row r="94" spans="2:7" ht="15" thickBot="1">
      <c r="B94" s="50">
        <v>92</v>
      </c>
      <c r="C94" s="54">
        <v>8431410000</v>
      </c>
      <c r="D94" s="52" t="s">
        <v>316</v>
      </c>
      <c r="E94" s="61">
        <v>5</v>
      </c>
      <c r="F94" s="54" t="s">
        <v>156</v>
      </c>
      <c r="G94" s="54" t="s">
        <v>317</v>
      </c>
    </row>
    <row r="95" spans="2:7" ht="15" thickBot="1">
      <c r="B95" s="50">
        <v>93</v>
      </c>
      <c r="C95" s="54">
        <v>7307990090</v>
      </c>
      <c r="D95" s="54" t="s">
        <v>318</v>
      </c>
      <c r="E95" s="57">
        <v>0.05</v>
      </c>
      <c r="F95" s="54" t="s">
        <v>156</v>
      </c>
      <c r="G95" s="54" t="s">
        <v>319</v>
      </c>
    </row>
    <row r="96" spans="2:7" ht="15" thickBot="1">
      <c r="B96" s="50">
        <v>94</v>
      </c>
      <c r="C96" s="54">
        <v>7307990090</v>
      </c>
      <c r="D96" s="54" t="s">
        <v>320</v>
      </c>
      <c r="E96" s="57">
        <v>0.05</v>
      </c>
      <c r="F96" s="54" t="s">
        <v>156</v>
      </c>
      <c r="G96" s="54" t="s">
        <v>321</v>
      </c>
    </row>
    <row r="97" spans="2:7" ht="15" thickBot="1">
      <c r="B97" s="50">
        <v>95</v>
      </c>
      <c r="C97" s="54">
        <v>8413920000</v>
      </c>
      <c r="D97" s="54" t="s">
        <v>322</v>
      </c>
      <c r="E97" s="54">
        <v>20</v>
      </c>
      <c r="F97" s="54" t="s">
        <v>156</v>
      </c>
      <c r="G97" s="54" t="s">
        <v>323</v>
      </c>
    </row>
    <row r="98" spans="2:7" ht="15" thickBot="1">
      <c r="B98" s="50">
        <v>96</v>
      </c>
      <c r="C98" s="54">
        <v>8204120000</v>
      </c>
      <c r="D98" s="54" t="s">
        <v>324</v>
      </c>
      <c r="E98" s="54">
        <v>5</v>
      </c>
      <c r="F98" s="54" t="s">
        <v>156</v>
      </c>
      <c r="G98" s="54" t="s">
        <v>325</v>
      </c>
    </row>
    <row r="99" spans="2:7" ht="15" thickBot="1">
      <c r="B99" s="50">
        <v>97</v>
      </c>
      <c r="C99" s="54">
        <v>7307990090</v>
      </c>
      <c r="D99" s="54" t="s">
        <v>326</v>
      </c>
      <c r="E99" s="57">
        <v>0.05</v>
      </c>
      <c r="F99" s="54" t="s">
        <v>156</v>
      </c>
      <c r="G99" s="54" t="s">
        <v>327</v>
      </c>
    </row>
    <row r="100" spans="2:7" ht="15" thickBot="1">
      <c r="B100" s="50">
        <v>98</v>
      </c>
      <c r="C100" s="52">
        <v>7318159000</v>
      </c>
      <c r="D100" s="54" t="s">
        <v>328</v>
      </c>
      <c r="E100" s="56">
        <v>0.15</v>
      </c>
      <c r="F100" s="52" t="s">
        <v>204</v>
      </c>
      <c r="G100" s="54" t="s">
        <v>329</v>
      </c>
    </row>
    <row r="101" spans="2:7" ht="15" thickBot="1">
      <c r="B101" s="50">
        <v>99</v>
      </c>
      <c r="C101" s="54">
        <v>7307990090</v>
      </c>
      <c r="D101" s="54" t="s">
        <v>330</v>
      </c>
      <c r="E101" s="57">
        <v>0.05</v>
      </c>
      <c r="F101" s="54" t="s">
        <v>156</v>
      </c>
      <c r="G101" s="54" t="s">
        <v>331</v>
      </c>
    </row>
    <row r="102" spans="2:7" ht="15" thickBot="1">
      <c r="B102" s="50">
        <v>100</v>
      </c>
      <c r="C102" s="54">
        <v>7307990090</v>
      </c>
      <c r="D102" s="52" t="s">
        <v>332</v>
      </c>
      <c r="E102" s="57">
        <v>0.05</v>
      </c>
      <c r="F102" s="54" t="s">
        <v>156</v>
      </c>
      <c r="G102" s="54" t="s">
        <v>333</v>
      </c>
    </row>
    <row r="103" spans="2:7" ht="15" thickBot="1">
      <c r="B103" s="50">
        <v>101</v>
      </c>
      <c r="C103" s="54">
        <v>7307990090</v>
      </c>
      <c r="D103" s="52" t="s">
        <v>334</v>
      </c>
      <c r="E103" s="57">
        <v>0.05</v>
      </c>
      <c r="F103" s="54" t="s">
        <v>156</v>
      </c>
      <c r="G103" s="54" t="s">
        <v>335</v>
      </c>
    </row>
    <row r="104" spans="2:7" ht="15" thickBot="1">
      <c r="B104" s="50">
        <v>102</v>
      </c>
      <c r="C104" s="54">
        <v>8413920000</v>
      </c>
      <c r="D104" s="54" t="s">
        <v>336</v>
      </c>
      <c r="E104" s="54">
        <v>20</v>
      </c>
      <c r="F104" s="54" t="s">
        <v>156</v>
      </c>
      <c r="G104" s="54" t="s">
        <v>337</v>
      </c>
    </row>
    <row r="105" spans="2:7" ht="15" thickBot="1">
      <c r="B105" s="50">
        <v>103</v>
      </c>
      <c r="C105" s="54">
        <v>8413920000</v>
      </c>
      <c r="D105" s="54" t="s">
        <v>338</v>
      </c>
      <c r="E105" s="54">
        <v>20</v>
      </c>
      <c r="F105" s="54" t="s">
        <v>156</v>
      </c>
      <c r="G105" s="54" t="s">
        <v>339</v>
      </c>
    </row>
    <row r="106" spans="2:7" ht="15" thickBot="1">
      <c r="B106" s="50">
        <v>104</v>
      </c>
      <c r="C106" s="52">
        <v>7318159000</v>
      </c>
      <c r="D106" s="52" t="s">
        <v>340</v>
      </c>
      <c r="E106" s="56">
        <v>0.15</v>
      </c>
      <c r="F106" s="52" t="s">
        <v>204</v>
      </c>
      <c r="G106" s="54" t="s">
        <v>341</v>
      </c>
    </row>
    <row r="107" spans="2:7" ht="15" thickBot="1">
      <c r="B107" s="50">
        <v>105</v>
      </c>
      <c r="C107" s="54">
        <v>7307990090</v>
      </c>
      <c r="D107" s="52" t="s">
        <v>342</v>
      </c>
      <c r="E107" s="57">
        <v>0.05</v>
      </c>
      <c r="F107" s="54" t="s">
        <v>156</v>
      </c>
      <c r="G107" s="54" t="s">
        <v>343</v>
      </c>
    </row>
    <row r="108" spans="2:7" ht="15" thickBot="1">
      <c r="B108" s="50">
        <v>106</v>
      </c>
      <c r="C108" s="54">
        <v>8708939100</v>
      </c>
      <c r="D108" s="52" t="s">
        <v>344</v>
      </c>
      <c r="E108" s="54">
        <v>10</v>
      </c>
      <c r="F108" s="54" t="s">
        <v>156</v>
      </c>
      <c r="G108" s="54" t="s">
        <v>345</v>
      </c>
    </row>
    <row r="109" spans="2:7" ht="15" thickBot="1">
      <c r="B109" s="50">
        <v>107</v>
      </c>
      <c r="C109" s="54">
        <v>8462391000</v>
      </c>
      <c r="D109" s="52" t="s">
        <v>346</v>
      </c>
      <c r="E109" s="61">
        <v>10</v>
      </c>
      <c r="F109" s="54" t="s">
        <v>156</v>
      </c>
      <c r="G109" s="54" t="s">
        <v>347</v>
      </c>
    </row>
    <row r="110" spans="2:7" ht="15" thickBot="1">
      <c r="B110" s="50">
        <v>108</v>
      </c>
      <c r="C110" s="61">
        <v>8431200000</v>
      </c>
      <c r="D110" s="54" t="s">
        <v>348</v>
      </c>
      <c r="E110" s="61">
        <v>0</v>
      </c>
      <c r="F110" s="54" t="s">
        <v>156</v>
      </c>
      <c r="G110" s="54" t="s">
        <v>349</v>
      </c>
    </row>
    <row r="111" spans="2:7" ht="15" thickBot="1">
      <c r="B111" s="50">
        <v>109</v>
      </c>
      <c r="C111" s="54">
        <v>8409997000</v>
      </c>
      <c r="D111" s="54" t="s">
        <v>350</v>
      </c>
      <c r="E111" s="56">
        <v>0</v>
      </c>
      <c r="F111" s="52" t="s">
        <v>156</v>
      </c>
      <c r="G111" s="54" t="s">
        <v>351</v>
      </c>
    </row>
    <row r="112" spans="2:7" ht="15" thickBot="1">
      <c r="B112" s="50">
        <v>110</v>
      </c>
      <c r="C112" s="54">
        <v>7318159000</v>
      </c>
      <c r="D112" s="54" t="s">
        <v>352</v>
      </c>
      <c r="E112" s="56">
        <v>0.15</v>
      </c>
      <c r="F112" s="52" t="s">
        <v>204</v>
      </c>
      <c r="G112" s="54" t="s">
        <v>353</v>
      </c>
    </row>
    <row r="113" spans="2:7" ht="15" thickBot="1">
      <c r="B113" s="50">
        <v>111</v>
      </c>
      <c r="C113" s="54">
        <v>7318159000</v>
      </c>
      <c r="D113" s="54" t="s">
        <v>354</v>
      </c>
      <c r="E113" s="56">
        <v>0.15</v>
      </c>
      <c r="F113" s="52" t="s">
        <v>204</v>
      </c>
      <c r="G113" s="54" t="s">
        <v>355</v>
      </c>
    </row>
    <row r="114" spans="2:7" ht="15" thickBot="1">
      <c r="B114" s="50">
        <v>112</v>
      </c>
      <c r="C114" s="51">
        <v>8209001000</v>
      </c>
      <c r="D114" s="54" t="s">
        <v>356</v>
      </c>
      <c r="E114" s="54">
        <v>5</v>
      </c>
      <c r="F114" s="54" t="s">
        <v>156</v>
      </c>
      <c r="G114" s="54" t="s">
        <v>357</v>
      </c>
    </row>
    <row r="115" spans="2:7" ht="15" thickBot="1">
      <c r="B115" s="50">
        <v>113</v>
      </c>
      <c r="C115" s="54">
        <v>8482100000</v>
      </c>
      <c r="D115" s="54" t="s">
        <v>358</v>
      </c>
      <c r="E115" s="59">
        <v>0</v>
      </c>
      <c r="F115" s="60" t="s">
        <v>156</v>
      </c>
      <c r="G115" s="54" t="s">
        <v>359</v>
      </c>
    </row>
    <row r="116" spans="2:7" ht="15" thickBot="1">
      <c r="B116" s="50">
        <v>114</v>
      </c>
      <c r="C116" s="54">
        <v>8207198000</v>
      </c>
      <c r="D116" s="54" t="s">
        <v>360</v>
      </c>
      <c r="E116" s="54">
        <v>5</v>
      </c>
      <c r="F116" s="54" t="s">
        <v>156</v>
      </c>
      <c r="G116" s="54" t="s">
        <v>361</v>
      </c>
    </row>
    <row r="117" spans="2:7" ht="15" thickBot="1">
      <c r="B117" s="50">
        <v>115</v>
      </c>
      <c r="C117" s="54">
        <v>8207198000</v>
      </c>
      <c r="D117" s="52" t="s">
        <v>362</v>
      </c>
      <c r="E117" s="54">
        <v>5</v>
      </c>
      <c r="F117" s="54" t="s">
        <v>156</v>
      </c>
      <c r="G117" s="54" t="s">
        <v>363</v>
      </c>
    </row>
    <row r="118" spans="2:7" ht="15" thickBot="1">
      <c r="B118" s="50">
        <v>116</v>
      </c>
      <c r="C118" s="54">
        <v>7307990090</v>
      </c>
      <c r="D118" s="54" t="s">
        <v>364</v>
      </c>
      <c r="E118" s="57">
        <v>0.05</v>
      </c>
      <c r="F118" s="54" t="s">
        <v>156</v>
      </c>
      <c r="G118" s="54" t="s">
        <v>365</v>
      </c>
    </row>
    <row r="119" spans="2:7" ht="15" thickBot="1">
      <c r="B119" s="50">
        <v>117</v>
      </c>
      <c r="C119" s="54">
        <v>7307990090</v>
      </c>
      <c r="D119" s="54" t="s">
        <v>366</v>
      </c>
      <c r="E119" s="57">
        <v>0.05</v>
      </c>
      <c r="F119" s="54" t="s">
        <v>156</v>
      </c>
      <c r="G119" s="54" t="s">
        <v>367</v>
      </c>
    </row>
    <row r="120" spans="2:7" ht="15" thickBot="1">
      <c r="B120" s="50">
        <v>118</v>
      </c>
      <c r="C120" s="54">
        <v>8431410000</v>
      </c>
      <c r="D120" s="52" t="s">
        <v>368</v>
      </c>
      <c r="E120" s="61">
        <v>5</v>
      </c>
      <c r="F120" s="54" t="s">
        <v>156</v>
      </c>
      <c r="G120" s="54" t="s">
        <v>369</v>
      </c>
    </row>
    <row r="121" spans="2:7" ht="15" thickBot="1">
      <c r="B121" s="50">
        <v>119</v>
      </c>
      <c r="C121" s="54">
        <v>7307990090</v>
      </c>
      <c r="D121" s="52" t="s">
        <v>370</v>
      </c>
      <c r="E121" s="57">
        <v>0.05</v>
      </c>
      <c r="F121" s="54" t="s">
        <v>156</v>
      </c>
      <c r="G121" s="54" t="s">
        <v>371</v>
      </c>
    </row>
    <row r="122" spans="2:7" ht="15" thickBot="1">
      <c r="B122" s="50">
        <v>120</v>
      </c>
      <c r="C122" s="54">
        <v>7307990090</v>
      </c>
      <c r="D122" s="52" t="s">
        <v>372</v>
      </c>
      <c r="E122" s="57">
        <v>0.05</v>
      </c>
      <c r="F122" s="54" t="s">
        <v>156</v>
      </c>
      <c r="G122" s="54" t="s">
        <v>373</v>
      </c>
    </row>
    <row r="123" spans="2:7" ht="15" thickBot="1">
      <c r="B123" s="50">
        <v>121</v>
      </c>
      <c r="C123" s="54">
        <v>7304230000</v>
      </c>
      <c r="D123" s="54" t="s">
        <v>374</v>
      </c>
      <c r="E123" s="54">
        <v>0</v>
      </c>
      <c r="F123" s="54" t="s">
        <v>156</v>
      </c>
      <c r="G123" s="54" t="s">
        <v>375</v>
      </c>
    </row>
    <row r="124" spans="2:7" ht="15" thickBot="1">
      <c r="B124" s="50">
        <v>122</v>
      </c>
      <c r="C124" s="54">
        <v>7318240000</v>
      </c>
      <c r="D124" s="54" t="s">
        <v>376</v>
      </c>
      <c r="E124" s="54">
        <v>15</v>
      </c>
      <c r="F124" s="54" t="s">
        <v>156</v>
      </c>
      <c r="G124" s="54" t="s">
        <v>377</v>
      </c>
    </row>
    <row r="125" spans="2:7" ht="15" thickBot="1">
      <c r="B125" s="50">
        <v>123</v>
      </c>
      <c r="C125" s="54">
        <v>7307990090</v>
      </c>
      <c r="D125" s="54" t="s">
        <v>378</v>
      </c>
      <c r="E125" s="57">
        <v>0.05</v>
      </c>
      <c r="F125" s="54" t="s">
        <v>156</v>
      </c>
      <c r="G125" s="54" t="s">
        <v>379</v>
      </c>
    </row>
    <row r="126" spans="2:7" ht="15" thickBot="1">
      <c r="B126" s="50">
        <v>124</v>
      </c>
      <c r="C126" s="54">
        <v>7307990090</v>
      </c>
      <c r="D126" s="52" t="s">
        <v>380</v>
      </c>
      <c r="E126" s="57">
        <v>0.05</v>
      </c>
      <c r="F126" s="54" t="s">
        <v>156</v>
      </c>
      <c r="G126" s="54" t="s">
        <v>381</v>
      </c>
    </row>
    <row r="127" spans="2:7" ht="15" thickBot="1">
      <c r="B127" s="50">
        <v>125</v>
      </c>
      <c r="C127" s="54">
        <v>7307990090</v>
      </c>
      <c r="D127" s="54" t="s">
        <v>382</v>
      </c>
      <c r="E127" s="57">
        <v>0.05</v>
      </c>
      <c r="F127" s="54" t="s">
        <v>156</v>
      </c>
      <c r="G127" s="54" t="s">
        <v>383</v>
      </c>
    </row>
    <row r="128" spans="2:7" ht="15" thickBot="1">
      <c r="B128" s="50">
        <v>126</v>
      </c>
      <c r="C128" s="54">
        <v>7307990090</v>
      </c>
      <c r="D128" s="54" t="s">
        <v>384</v>
      </c>
      <c r="E128" s="57">
        <v>0.05</v>
      </c>
      <c r="F128" s="54" t="s">
        <v>156</v>
      </c>
      <c r="G128" s="54" t="s">
        <v>385</v>
      </c>
    </row>
    <row r="129" spans="2:7" ht="15" thickBot="1">
      <c r="B129" s="50">
        <v>127</v>
      </c>
      <c r="C129" s="54">
        <v>7307990090</v>
      </c>
      <c r="D129" s="54" t="s">
        <v>386</v>
      </c>
      <c r="E129" s="57">
        <v>0.05</v>
      </c>
      <c r="F129" s="54" t="s">
        <v>156</v>
      </c>
      <c r="G129" s="54" t="s">
        <v>387</v>
      </c>
    </row>
    <row r="130" spans="2:7" ht="15" thickBot="1">
      <c r="B130" s="50">
        <v>128</v>
      </c>
      <c r="C130" s="51">
        <v>7318160000</v>
      </c>
      <c r="D130" s="54" t="s">
        <v>388</v>
      </c>
      <c r="E130" s="59">
        <v>0.15</v>
      </c>
      <c r="F130" s="60" t="s">
        <v>214</v>
      </c>
      <c r="G130" s="54" t="s">
        <v>389</v>
      </c>
    </row>
    <row r="131" spans="2:7" ht="15" thickBot="1">
      <c r="B131" s="50">
        <v>129</v>
      </c>
      <c r="C131" s="51">
        <v>7318160000</v>
      </c>
      <c r="D131" s="54" t="s">
        <v>390</v>
      </c>
      <c r="E131" s="59">
        <v>0.15</v>
      </c>
      <c r="F131" s="60" t="s">
        <v>214</v>
      </c>
      <c r="G131" s="54" t="s">
        <v>391</v>
      </c>
    </row>
    <row r="132" spans="2:7" ht="15" thickBot="1">
      <c r="B132" s="50">
        <v>130</v>
      </c>
      <c r="C132" s="51">
        <v>7318160000</v>
      </c>
      <c r="D132" s="54" t="s">
        <v>392</v>
      </c>
      <c r="E132" s="59">
        <v>0.15</v>
      </c>
      <c r="F132" s="60" t="s">
        <v>214</v>
      </c>
      <c r="G132" s="54" t="s">
        <v>393</v>
      </c>
    </row>
    <row r="133" spans="2:7" ht="15" thickBot="1">
      <c r="B133" s="50">
        <v>131</v>
      </c>
      <c r="C133" s="51">
        <v>7318160000</v>
      </c>
      <c r="D133" s="54" t="s">
        <v>394</v>
      </c>
      <c r="E133" s="59">
        <v>0.15</v>
      </c>
      <c r="F133" s="60" t="s">
        <v>214</v>
      </c>
      <c r="G133" s="54" t="s">
        <v>395</v>
      </c>
    </row>
    <row r="134" spans="2:7" ht="15" thickBot="1">
      <c r="B134" s="50">
        <v>132</v>
      </c>
      <c r="C134" s="51">
        <v>7318160000</v>
      </c>
      <c r="D134" s="54" t="s">
        <v>396</v>
      </c>
      <c r="E134" s="59">
        <v>0.15</v>
      </c>
      <c r="F134" s="60" t="s">
        <v>214</v>
      </c>
      <c r="G134" s="54" t="s">
        <v>397</v>
      </c>
    </row>
    <row r="135" spans="2:7" ht="15" thickBot="1">
      <c r="B135" s="50">
        <v>133</v>
      </c>
      <c r="C135" s="51">
        <v>7318160000</v>
      </c>
      <c r="D135" s="54" t="s">
        <v>398</v>
      </c>
      <c r="E135" s="59">
        <v>0.15</v>
      </c>
      <c r="F135" s="60" t="s">
        <v>214</v>
      </c>
      <c r="G135" s="54" t="s">
        <v>399</v>
      </c>
    </row>
    <row r="136" spans="2:7" ht="15" thickBot="1">
      <c r="B136" s="50">
        <v>134</v>
      </c>
      <c r="C136" s="54">
        <v>8209001000</v>
      </c>
      <c r="D136" s="54" t="s">
        <v>400</v>
      </c>
      <c r="E136" s="54">
        <v>5</v>
      </c>
      <c r="F136" s="54" t="s">
        <v>156</v>
      </c>
      <c r="G136" s="54" t="s">
        <v>401</v>
      </c>
    </row>
    <row r="137" spans="2:7" ht="15" thickBot="1">
      <c r="B137" s="50">
        <v>135</v>
      </c>
      <c r="C137" s="61">
        <v>7307990090</v>
      </c>
      <c r="D137" s="52" t="s">
        <v>402</v>
      </c>
      <c r="E137" s="57">
        <v>0.05</v>
      </c>
      <c r="F137" s="54" t="s">
        <v>156</v>
      </c>
      <c r="G137" s="54" t="s">
        <v>403</v>
      </c>
    </row>
    <row r="138" spans="2:7" ht="15" thickBot="1">
      <c r="B138" s="50">
        <v>136</v>
      </c>
      <c r="C138" s="54">
        <v>7304230000</v>
      </c>
      <c r="D138" s="52" t="s">
        <v>404</v>
      </c>
      <c r="E138" s="54">
        <v>0</v>
      </c>
      <c r="F138" s="54" t="s">
        <v>156</v>
      </c>
      <c r="G138" s="54" t="s">
        <v>405</v>
      </c>
    </row>
    <row r="139" spans="2:7" ht="15" thickBot="1">
      <c r="B139" s="50">
        <v>137</v>
      </c>
      <c r="C139" s="54">
        <v>7307990090</v>
      </c>
      <c r="D139" s="54" t="s">
        <v>406</v>
      </c>
      <c r="E139" s="57">
        <v>0.05</v>
      </c>
      <c r="F139" s="54" t="s">
        <v>156</v>
      </c>
      <c r="G139" s="54" t="s">
        <v>407</v>
      </c>
    </row>
    <row r="140" spans="2:7" ht="15" thickBot="1">
      <c r="B140" s="50">
        <v>138</v>
      </c>
      <c r="C140" s="54">
        <v>7307990090</v>
      </c>
      <c r="D140" s="52" t="s">
        <v>408</v>
      </c>
      <c r="E140" s="57">
        <v>0.05</v>
      </c>
      <c r="F140" s="54" t="s">
        <v>156</v>
      </c>
      <c r="G140" s="54" t="s">
        <v>409</v>
      </c>
    </row>
    <row r="141" spans="2:7" ht="15" thickBot="1">
      <c r="B141" s="50">
        <v>139</v>
      </c>
      <c r="C141" s="51">
        <v>8487902000</v>
      </c>
      <c r="D141" s="52" t="s">
        <v>410</v>
      </c>
      <c r="E141" s="61">
        <v>10</v>
      </c>
      <c r="F141" s="54" t="s">
        <v>156</v>
      </c>
      <c r="G141" s="54" t="s">
        <v>411</v>
      </c>
    </row>
    <row r="142" spans="2:7" ht="15" thickBot="1">
      <c r="B142" s="50">
        <v>140</v>
      </c>
      <c r="C142" s="52">
        <v>7318159000</v>
      </c>
      <c r="D142" s="54" t="s">
        <v>412</v>
      </c>
      <c r="E142" s="56">
        <v>0.15</v>
      </c>
      <c r="F142" s="52" t="s">
        <v>204</v>
      </c>
      <c r="G142" s="54" t="s">
        <v>413</v>
      </c>
    </row>
    <row r="143" spans="2:7" ht="15" thickBot="1">
      <c r="B143" s="50">
        <v>141</v>
      </c>
      <c r="C143" s="61">
        <v>7318240000</v>
      </c>
      <c r="D143" s="52" t="s">
        <v>414</v>
      </c>
      <c r="E143" s="54">
        <v>15</v>
      </c>
      <c r="F143" s="54" t="s">
        <v>156</v>
      </c>
      <c r="G143" s="54" t="s">
        <v>411</v>
      </c>
    </row>
    <row r="144" spans="2:7" ht="15" thickBot="1">
      <c r="B144" s="50">
        <v>142</v>
      </c>
      <c r="C144" s="52">
        <v>7318159000</v>
      </c>
      <c r="D144" s="54" t="s">
        <v>415</v>
      </c>
      <c r="E144" s="56">
        <v>0.15</v>
      </c>
      <c r="F144" s="52" t="s">
        <v>204</v>
      </c>
      <c r="G144" s="54" t="s">
        <v>416</v>
      </c>
    </row>
    <row r="145" spans="2:7" ht="15" thickBot="1">
      <c r="B145" s="50">
        <v>143</v>
      </c>
      <c r="C145" s="54">
        <v>7307990090</v>
      </c>
      <c r="D145" s="54" t="s">
        <v>417</v>
      </c>
      <c r="E145" s="57">
        <v>0.05</v>
      </c>
      <c r="F145" s="54" t="s">
        <v>156</v>
      </c>
      <c r="G145" s="54" t="s">
        <v>418</v>
      </c>
    </row>
    <row r="146" spans="2:7" ht="15" thickBot="1">
      <c r="B146" s="50">
        <v>144</v>
      </c>
      <c r="C146" s="54">
        <v>8207198000</v>
      </c>
      <c r="D146" s="52" t="s">
        <v>419</v>
      </c>
      <c r="E146" s="54">
        <v>5</v>
      </c>
      <c r="F146" s="54" t="s">
        <v>156</v>
      </c>
      <c r="G146" s="54" t="s">
        <v>420</v>
      </c>
    </row>
    <row r="147" spans="2:7" ht="15" thickBot="1">
      <c r="B147" s="50">
        <v>145</v>
      </c>
      <c r="C147" s="54">
        <v>8207198000</v>
      </c>
      <c r="D147" s="52" t="s">
        <v>421</v>
      </c>
      <c r="E147" s="54">
        <v>5</v>
      </c>
      <c r="F147" s="54" t="s">
        <v>156</v>
      </c>
      <c r="G147" s="54" t="s">
        <v>422</v>
      </c>
    </row>
    <row r="148" spans="2:7" ht="15" thickBot="1">
      <c r="B148" s="50">
        <v>146</v>
      </c>
      <c r="C148" s="54">
        <v>7318240000</v>
      </c>
      <c r="D148" s="54" t="s">
        <v>423</v>
      </c>
      <c r="E148" s="54">
        <v>15</v>
      </c>
      <c r="F148" s="54" t="s">
        <v>156</v>
      </c>
      <c r="G148" s="54" t="s">
        <v>424</v>
      </c>
    </row>
    <row r="149" spans="2:7" ht="15" thickBot="1">
      <c r="B149" s="50">
        <v>147</v>
      </c>
      <c r="C149" s="54">
        <v>7307990090</v>
      </c>
      <c r="D149" s="54" t="s">
        <v>425</v>
      </c>
      <c r="E149" s="57">
        <v>0.05</v>
      </c>
      <c r="F149" s="54" t="s">
        <v>156</v>
      </c>
      <c r="G149" s="54" t="s">
        <v>426</v>
      </c>
    </row>
    <row r="150" spans="2:7" ht="15" thickBot="1">
      <c r="B150" s="50">
        <v>148</v>
      </c>
      <c r="C150" s="54">
        <v>8431439000</v>
      </c>
      <c r="D150" s="54" t="s">
        <v>427</v>
      </c>
      <c r="E150" s="54">
        <v>5</v>
      </c>
      <c r="F150" s="54" t="s">
        <v>156</v>
      </c>
      <c r="G150" s="54" t="s">
        <v>428</v>
      </c>
    </row>
    <row r="151" spans="2:7" ht="15" thickBot="1">
      <c r="B151" s="50">
        <v>149</v>
      </c>
      <c r="C151" s="54">
        <v>7307990090</v>
      </c>
      <c r="D151" s="54" t="s">
        <v>429</v>
      </c>
      <c r="E151" s="57">
        <v>0.05</v>
      </c>
      <c r="F151" s="54" t="s">
        <v>156</v>
      </c>
      <c r="G151" s="54" t="s">
        <v>430</v>
      </c>
    </row>
    <row r="152" spans="2:7" ht="15" thickBot="1">
      <c r="B152" s="50">
        <v>150</v>
      </c>
      <c r="C152" s="51">
        <v>8413920000</v>
      </c>
      <c r="D152" s="54" t="s">
        <v>431</v>
      </c>
      <c r="E152" s="54">
        <v>20</v>
      </c>
      <c r="F152" s="54" t="s">
        <v>156</v>
      </c>
      <c r="G152" s="54" t="s">
        <v>432</v>
      </c>
    </row>
    <row r="153" spans="2:7" ht="15" thickBot="1">
      <c r="B153" s="50">
        <v>151</v>
      </c>
      <c r="C153" s="54">
        <v>7307990090</v>
      </c>
      <c r="D153" s="54" t="s">
        <v>433</v>
      </c>
      <c r="E153" s="57">
        <v>0.05</v>
      </c>
      <c r="F153" s="54" t="s">
        <v>156</v>
      </c>
      <c r="G153" s="54" t="s">
        <v>434</v>
      </c>
    </row>
    <row r="154" spans="2:7" ht="15" thickBot="1">
      <c r="B154" s="50">
        <v>152</v>
      </c>
      <c r="C154" s="61">
        <v>7307990090</v>
      </c>
      <c r="D154" s="52" t="s">
        <v>435</v>
      </c>
      <c r="E154" s="57">
        <v>0.05</v>
      </c>
      <c r="F154" s="54" t="s">
        <v>156</v>
      </c>
      <c r="G154" s="54" t="s">
        <v>436</v>
      </c>
    </row>
    <row r="155" spans="2:7" ht="15" thickBot="1">
      <c r="B155" s="50">
        <v>153</v>
      </c>
      <c r="C155" s="61">
        <v>7307990090</v>
      </c>
      <c r="D155" s="54" t="s">
        <v>437</v>
      </c>
      <c r="E155" s="57">
        <v>0.05</v>
      </c>
      <c r="F155" s="54" t="s">
        <v>156</v>
      </c>
      <c r="G155" s="54" t="s">
        <v>438</v>
      </c>
    </row>
    <row r="156" spans="2:7" ht="15" thickBot="1">
      <c r="B156" s="50">
        <v>154</v>
      </c>
      <c r="C156" s="61">
        <v>7307990090</v>
      </c>
      <c r="D156" s="52" t="s">
        <v>439</v>
      </c>
      <c r="E156" s="54">
        <v>5</v>
      </c>
      <c r="F156" s="54" t="s">
        <v>156</v>
      </c>
      <c r="G156" s="54" t="s">
        <v>440</v>
      </c>
    </row>
    <row r="157" spans="2:7" ht="15" thickBot="1">
      <c r="B157" s="50">
        <v>155</v>
      </c>
      <c r="C157" s="54">
        <v>7318240000</v>
      </c>
      <c r="D157" s="54" t="s">
        <v>441</v>
      </c>
      <c r="E157" s="54">
        <v>15</v>
      </c>
      <c r="F157" s="54" t="s">
        <v>156</v>
      </c>
      <c r="G157" s="54" t="s">
        <v>442</v>
      </c>
    </row>
    <row r="158" spans="2:7" ht="15" thickBot="1">
      <c r="B158" s="50">
        <v>156</v>
      </c>
      <c r="C158" s="54">
        <v>8431439000</v>
      </c>
      <c r="D158" s="52" t="s">
        <v>443</v>
      </c>
      <c r="E158" s="54">
        <v>5</v>
      </c>
      <c r="F158" s="54" t="s">
        <v>156</v>
      </c>
      <c r="G158" s="54" t="s">
        <v>444</v>
      </c>
    </row>
    <row r="159" spans="2:7" ht="15" thickBot="1">
      <c r="B159" s="50">
        <v>157</v>
      </c>
      <c r="C159" s="52">
        <v>8413820000</v>
      </c>
      <c r="D159" s="54" t="s">
        <v>445</v>
      </c>
      <c r="E159" s="59">
        <v>0.25</v>
      </c>
      <c r="F159" s="60" t="s">
        <v>156</v>
      </c>
      <c r="G159" s="54" t="s">
        <v>446</v>
      </c>
    </row>
    <row r="160" spans="2:7" ht="15" thickBot="1">
      <c r="B160" s="50">
        <v>158</v>
      </c>
      <c r="C160" s="61">
        <v>7307990090</v>
      </c>
      <c r="D160" s="52" t="s">
        <v>447</v>
      </c>
      <c r="E160" s="57">
        <v>0.05</v>
      </c>
      <c r="F160" s="54" t="s">
        <v>156</v>
      </c>
      <c r="G160" s="54" t="s">
        <v>448</v>
      </c>
    </row>
    <row r="161" spans="2:7" ht="15" thickBot="1">
      <c r="B161" s="50">
        <v>159</v>
      </c>
      <c r="C161" s="61">
        <v>7307990090</v>
      </c>
      <c r="D161" s="52" t="s">
        <v>431</v>
      </c>
      <c r="E161" s="54">
        <v>20</v>
      </c>
      <c r="F161" s="54" t="s">
        <v>156</v>
      </c>
      <c r="G161" s="54" t="s">
        <v>449</v>
      </c>
    </row>
    <row r="162" spans="2:7" ht="15" thickBot="1">
      <c r="B162" s="50">
        <v>160</v>
      </c>
      <c r="C162" s="61">
        <v>7307990090</v>
      </c>
      <c r="D162" s="52" t="s">
        <v>450</v>
      </c>
      <c r="E162" s="54">
        <v>5</v>
      </c>
      <c r="F162" s="54" t="s">
        <v>156</v>
      </c>
      <c r="G162" s="54" t="s">
        <v>451</v>
      </c>
    </row>
    <row r="163" spans="2:7" ht="15" thickBot="1">
      <c r="B163" s="50">
        <v>161</v>
      </c>
      <c r="C163" s="54">
        <v>7307990090</v>
      </c>
      <c r="D163" s="54" t="s">
        <v>452</v>
      </c>
      <c r="E163" s="57">
        <v>0.05</v>
      </c>
      <c r="F163" s="54" t="s">
        <v>156</v>
      </c>
      <c r="G163" s="54" t="s">
        <v>453</v>
      </c>
    </row>
    <row r="164" spans="2:7" ht="15" thickBot="1">
      <c r="B164" s="50">
        <v>162</v>
      </c>
      <c r="C164" s="54">
        <v>7307990090</v>
      </c>
      <c r="D164" s="54" t="s">
        <v>454</v>
      </c>
      <c r="E164" s="57">
        <v>0.05</v>
      </c>
      <c r="F164" s="54" t="s">
        <v>156</v>
      </c>
      <c r="G164" s="54" t="s">
        <v>455</v>
      </c>
    </row>
    <row r="165" spans="2:7" ht="15" thickBot="1">
      <c r="B165" s="50">
        <v>163</v>
      </c>
      <c r="C165" s="52">
        <v>8413820000</v>
      </c>
      <c r="D165" s="54" t="s">
        <v>456</v>
      </c>
      <c r="E165" s="59">
        <v>0.25</v>
      </c>
      <c r="F165" s="60" t="s">
        <v>156</v>
      </c>
      <c r="G165" s="54" t="s">
        <v>457</v>
      </c>
    </row>
    <row r="166" spans="2:7" ht="15" thickBot="1">
      <c r="B166" s="50">
        <v>164</v>
      </c>
      <c r="C166" s="51">
        <v>8413920000</v>
      </c>
      <c r="D166" s="52" t="s">
        <v>431</v>
      </c>
      <c r="E166" s="54">
        <v>20</v>
      </c>
      <c r="F166" s="54" t="s">
        <v>156</v>
      </c>
      <c r="G166" s="54" t="s">
        <v>458</v>
      </c>
    </row>
    <row r="167" spans="2:7" ht="15" thickBot="1">
      <c r="B167" s="50">
        <v>165</v>
      </c>
      <c r="C167" s="54">
        <v>7307990090</v>
      </c>
      <c r="D167" s="54" t="s">
        <v>459</v>
      </c>
      <c r="E167" s="57">
        <v>0.05</v>
      </c>
      <c r="F167" s="54" t="s">
        <v>156</v>
      </c>
      <c r="G167" s="54" t="s">
        <v>460</v>
      </c>
    </row>
    <row r="168" spans="2:7" ht="15" thickBot="1">
      <c r="B168" s="50">
        <v>166</v>
      </c>
      <c r="C168" s="61">
        <v>7307990090</v>
      </c>
      <c r="D168" s="52" t="s">
        <v>461</v>
      </c>
      <c r="E168" s="57">
        <v>0.05</v>
      </c>
      <c r="F168" s="54" t="s">
        <v>156</v>
      </c>
      <c r="G168" s="54" t="s">
        <v>462</v>
      </c>
    </row>
    <row r="169" spans="2:7" ht="15" thickBot="1">
      <c r="B169" s="50">
        <v>167</v>
      </c>
      <c r="C169" s="52">
        <v>3926909000</v>
      </c>
      <c r="D169" s="54" t="s">
        <v>463</v>
      </c>
      <c r="E169" s="59">
        <v>0.2</v>
      </c>
      <c r="F169" s="60" t="s">
        <v>156</v>
      </c>
      <c r="G169" s="54" t="s">
        <v>464</v>
      </c>
    </row>
    <row r="170" spans="2:7" ht="15" thickBot="1">
      <c r="B170" s="50">
        <v>168</v>
      </c>
      <c r="C170" s="61">
        <v>7307990090</v>
      </c>
      <c r="D170" s="52" t="s">
        <v>465</v>
      </c>
      <c r="E170" s="59">
        <v>0.25</v>
      </c>
      <c r="F170" s="60" t="s">
        <v>156</v>
      </c>
      <c r="G170" s="54" t="s">
        <v>466</v>
      </c>
    </row>
    <row r="171" spans="2:7" ht="15" thickBot="1">
      <c r="B171" s="50">
        <v>169</v>
      </c>
      <c r="C171" s="61">
        <v>7307990090</v>
      </c>
      <c r="D171" s="52" t="s">
        <v>467</v>
      </c>
      <c r="E171" s="59">
        <v>0.25</v>
      </c>
      <c r="F171" s="60" t="s">
        <v>156</v>
      </c>
      <c r="G171" s="54" t="s">
        <v>468</v>
      </c>
    </row>
    <row r="172" spans="2:7" ht="15" thickBot="1">
      <c r="B172" s="50">
        <v>170</v>
      </c>
      <c r="C172" s="54">
        <v>7312900000</v>
      </c>
      <c r="D172" s="52" t="s">
        <v>469</v>
      </c>
      <c r="E172" s="59">
        <v>0.25</v>
      </c>
      <c r="F172" s="60" t="s">
        <v>156</v>
      </c>
      <c r="G172" s="54" t="s">
        <v>470</v>
      </c>
    </row>
    <row r="173" spans="2:7" ht="15" thickBot="1">
      <c r="B173" s="50">
        <v>171</v>
      </c>
      <c r="C173" s="54">
        <v>8609000000</v>
      </c>
      <c r="D173" s="52" t="s">
        <v>471</v>
      </c>
      <c r="E173" s="54">
        <v>0</v>
      </c>
      <c r="F173" s="54" t="s">
        <v>156</v>
      </c>
      <c r="G173" s="54" t="s">
        <v>472</v>
      </c>
    </row>
    <row r="174" spans="2:7" ht="15" thickBot="1">
      <c r="C174">
        <v>7318159000</v>
      </c>
      <c r="E174" s="59">
        <v>0.1518824486415096</v>
      </c>
    </row>
    <row r="175" spans="2:7" ht="15" thickBot="1">
      <c r="C175">
        <v>7322900000</v>
      </c>
      <c r="E175" s="59">
        <v>0</v>
      </c>
    </row>
    <row r="176" spans="2:7" ht="15" thickBot="1">
      <c r="C176">
        <v>8204120000</v>
      </c>
      <c r="E176" s="59">
        <v>5.0622957893146685E-2</v>
      </c>
    </row>
    <row r="177" spans="3:8" ht="15" thickBot="1">
      <c r="C177">
        <v>8205510000</v>
      </c>
      <c r="E177" s="59">
        <v>0.30371371607020137</v>
      </c>
    </row>
    <row r="178" spans="3:8" ht="15" thickBot="1">
      <c r="C178">
        <v>8207132090</v>
      </c>
      <c r="E178" s="59">
        <v>0.10123766903609131</v>
      </c>
    </row>
    <row r="179" spans="3:8" ht="15" thickBot="1">
      <c r="C179">
        <v>8409997000</v>
      </c>
      <c r="E179" s="59">
        <v>0</v>
      </c>
    </row>
    <row r="180" spans="3:8" ht="15" thickBot="1">
      <c r="C180">
        <v>8431390000</v>
      </c>
      <c r="E180" s="118">
        <v>1.4462519620573636E-2</v>
      </c>
    </row>
    <row r="181" spans="3:8" ht="15" thickBot="1">
      <c r="C181">
        <v>8431439000</v>
      </c>
      <c r="E181" s="59">
        <v>5.0611988055869354E-2</v>
      </c>
    </row>
    <row r="182" spans="3:8" ht="15" thickBot="1">
      <c r="C182">
        <v>8431490000</v>
      </c>
      <c r="E182" s="59">
        <v>2.8122299776201839E-3</v>
      </c>
    </row>
    <row r="183" spans="3:8" ht="15" thickBot="1">
      <c r="C183">
        <v>8481300000</v>
      </c>
      <c r="E183" s="59">
        <v>0</v>
      </c>
    </row>
    <row r="184" spans="3:8" ht="15" thickBot="1">
      <c r="C184">
        <v>8481400090</v>
      </c>
      <c r="E184" s="59">
        <v>0</v>
      </c>
    </row>
    <row r="185" spans="3:8" ht="15" thickBot="1">
      <c r="C185">
        <v>8481909090</v>
      </c>
      <c r="E185" s="59">
        <v>0.20247094774193272</v>
      </c>
    </row>
    <row r="186" spans="3:8" ht="15" thickBot="1">
      <c r="C186">
        <v>8484100000</v>
      </c>
      <c r="E186" s="118">
        <v>3.7970783571636149E-2</v>
      </c>
    </row>
    <row r="187" spans="3:8" ht="15" thickBot="1">
      <c r="C187">
        <v>8487902000</v>
      </c>
      <c r="E187" s="59">
        <v>7.5929796795854196E-2</v>
      </c>
    </row>
    <row r="188" spans="3:8" ht="15" thickBot="1">
      <c r="C188">
        <v>8511409000</v>
      </c>
      <c r="E188" s="59">
        <v>0</v>
      </c>
    </row>
    <row r="189" spans="3:8" ht="15" thickBot="1">
      <c r="C189">
        <v>8511809000</v>
      </c>
      <c r="E189" s="59">
        <v>0</v>
      </c>
    </row>
    <row r="190" spans="3:8" ht="15" thickBot="1">
      <c r="C190">
        <v>9015809000</v>
      </c>
      <c r="E190" s="59">
        <v>5.062010370700594E-2</v>
      </c>
    </row>
    <row r="191" spans="3:8" ht="42" thickBot="1">
      <c r="C191" s="52">
        <v>8413820000</v>
      </c>
      <c r="D191" s="114" t="s">
        <v>473</v>
      </c>
      <c r="E191" s="119">
        <v>0</v>
      </c>
      <c r="H191" s="120" t="s">
        <v>474</v>
      </c>
    </row>
    <row r="192" spans="3:8">
      <c r="C192">
        <v>3402119000</v>
      </c>
      <c r="D192" t="s">
        <v>475</v>
      </c>
      <c r="E192" s="119">
        <v>0.2</v>
      </c>
    </row>
    <row r="193" spans="3:5">
      <c r="C193">
        <v>2710193900</v>
      </c>
      <c r="D193" t="s">
        <v>476</v>
      </c>
      <c r="E193" s="119">
        <v>0.1</v>
      </c>
    </row>
    <row r="194" spans="3:5">
      <c r="C194">
        <v>8408201000</v>
      </c>
      <c r="E194" s="128">
        <v>0</v>
      </c>
    </row>
    <row r="195" spans="3:5">
      <c r="C195">
        <v>8412290000</v>
      </c>
      <c r="E195" s="128">
        <v>0</v>
      </c>
    </row>
    <row r="196" spans="3:5">
      <c r="C196" t="s">
        <v>477</v>
      </c>
      <c r="E196" s="128">
        <v>0</v>
      </c>
    </row>
  </sheetData>
  <autoFilter ref="B2:G190" xr:uid="{00000000-0009-0000-0000-000003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53"/>
  <sheetViews>
    <sheetView tabSelected="1" zoomScale="120" zoomScaleNormal="120" workbookViewId="0">
      <selection activeCell="C9" sqref="C9:D9"/>
    </sheetView>
  </sheetViews>
  <sheetFormatPr defaultColWidth="11.42578125" defaultRowHeight="11.45"/>
  <cols>
    <col min="1" max="1" width="3.42578125" style="63" customWidth="1"/>
    <col min="2" max="3" width="27.5703125" style="64" customWidth="1"/>
    <col min="4" max="4" width="8.85546875" style="64" customWidth="1"/>
    <col min="5" max="5" width="10.85546875" style="64" customWidth="1"/>
    <col min="6" max="7" width="9.140625" style="64" customWidth="1"/>
    <col min="8" max="8" width="10.140625" style="64" customWidth="1"/>
    <col min="9" max="9" width="9.85546875" style="64" customWidth="1"/>
    <col min="10" max="10" width="8.85546875" style="64" customWidth="1"/>
    <col min="11" max="11" width="11.42578125" style="64" customWidth="1"/>
    <col min="12" max="12" width="9.140625" style="64" customWidth="1"/>
    <col min="13" max="13" width="10" style="64" customWidth="1"/>
    <col min="14" max="14" width="9.28515625" style="64" customWidth="1"/>
    <col min="15" max="15" width="12.42578125" style="64" customWidth="1"/>
    <col min="16" max="16" width="5.28515625" style="64" customWidth="1"/>
    <col min="17" max="17" width="9.7109375" style="64" customWidth="1"/>
    <col min="18" max="18" width="10.28515625" style="64" customWidth="1"/>
    <col min="19" max="19" width="11.5703125" style="64" customWidth="1"/>
    <col min="20" max="21" width="9" style="64" customWidth="1"/>
    <col min="22" max="22" width="11.42578125" style="64" customWidth="1"/>
    <col min="23" max="23" width="9.7109375" style="64" customWidth="1"/>
    <col min="24" max="24" width="11.85546875" style="64" bestFit="1" customWidth="1"/>
    <col min="25" max="25" width="6.140625" style="87" bestFit="1" customWidth="1"/>
    <col min="26" max="26" width="6.140625" style="87" customWidth="1"/>
    <col min="27" max="27" width="6.5703125" style="71" customWidth="1"/>
    <col min="28" max="28" width="24.28515625" style="64" customWidth="1"/>
    <col min="29" max="16384" width="11.42578125" style="64"/>
  </cols>
  <sheetData>
    <row r="1" spans="2:27">
      <c r="M1" s="198" t="s">
        <v>478</v>
      </c>
      <c r="N1" s="199"/>
    </row>
    <row r="2" spans="2:27" ht="18" customHeight="1">
      <c r="D2" s="206" t="s">
        <v>479</v>
      </c>
      <c r="E2" s="206"/>
      <c r="F2" s="206"/>
      <c r="G2" s="206"/>
      <c r="M2" s="200"/>
      <c r="N2" s="201"/>
    </row>
    <row r="3" spans="2:27" ht="12">
      <c r="D3" s="206" t="s">
        <v>480</v>
      </c>
      <c r="E3" s="206"/>
      <c r="F3" s="206"/>
      <c r="G3" s="206"/>
      <c r="I3" s="65" t="s">
        <v>481</v>
      </c>
      <c r="J3" s="65"/>
      <c r="K3" s="94"/>
      <c r="M3" s="202"/>
      <c r="N3" s="203"/>
    </row>
    <row r="4" spans="2:27" ht="12">
      <c r="B4" s="66" t="s">
        <v>482</v>
      </c>
    </row>
    <row r="5" spans="2:27" ht="12">
      <c r="B5" s="65" t="s">
        <v>483</v>
      </c>
      <c r="C5" s="207"/>
      <c r="D5" s="208"/>
      <c r="F5" s="67" t="s">
        <v>484</v>
      </c>
      <c r="G5" s="94"/>
      <c r="I5" s="65" t="s">
        <v>485</v>
      </c>
      <c r="J5" s="65"/>
      <c r="K5" s="65"/>
      <c r="L5" s="94" t="s">
        <v>486</v>
      </c>
      <c r="P5" s="73"/>
      <c r="Q5" s="73"/>
    </row>
    <row r="6" spans="2:27" ht="3.75" customHeight="1" thickBot="1">
      <c r="B6" s="65"/>
      <c r="F6" s="67"/>
      <c r="I6" s="65"/>
      <c r="J6" s="65"/>
      <c r="K6" s="65"/>
      <c r="P6" s="105"/>
      <c r="Q6" s="105"/>
    </row>
    <row r="7" spans="2:27" ht="12.6" thickBot="1">
      <c r="B7" s="65" t="s">
        <v>487</v>
      </c>
      <c r="C7" s="207"/>
      <c r="D7" s="208"/>
      <c r="F7" s="93" t="s">
        <v>488</v>
      </c>
      <c r="G7" s="65" t="s">
        <v>489</v>
      </c>
      <c r="H7" s="209"/>
      <c r="I7" s="210"/>
      <c r="J7" s="68"/>
      <c r="K7" s="68"/>
      <c r="L7" s="67" t="s">
        <v>490</v>
      </c>
      <c r="M7" s="209"/>
      <c r="N7" s="210"/>
      <c r="O7" s="69"/>
      <c r="P7" s="104"/>
      <c r="Q7" s="104"/>
      <c r="R7" s="69"/>
      <c r="S7" s="69"/>
    </row>
    <row r="8" spans="2:27" ht="4.5" customHeight="1" thickBot="1"/>
    <row r="9" spans="2:27" ht="12.6" thickBot="1">
      <c r="B9" s="65" t="s">
        <v>491</v>
      </c>
      <c r="C9" s="194"/>
      <c r="D9" s="195"/>
      <c r="F9" s="132" t="s">
        <v>492</v>
      </c>
      <c r="H9" s="196"/>
      <c r="I9" s="197"/>
      <c r="J9" s="68"/>
      <c r="K9" s="68"/>
      <c r="L9" s="67" t="s">
        <v>493</v>
      </c>
      <c r="M9" s="192"/>
      <c r="N9" s="193"/>
      <c r="O9" s="69"/>
      <c r="P9" s="69"/>
      <c r="Q9" s="69"/>
      <c r="R9" s="69"/>
      <c r="S9" s="69"/>
    </row>
    <row r="10" spans="2:27" ht="12.6" thickBot="1">
      <c r="B10" s="65" t="s">
        <v>494</v>
      </c>
      <c r="C10" s="194"/>
      <c r="D10" s="195"/>
      <c r="G10" s="65"/>
      <c r="H10" s="68"/>
      <c r="I10" s="68"/>
      <c r="J10" s="68"/>
      <c r="K10" s="68"/>
      <c r="L10" s="93"/>
      <c r="M10" s="68"/>
      <c r="N10" s="68"/>
      <c r="O10" s="68"/>
      <c r="P10" s="68"/>
      <c r="Q10" s="68"/>
      <c r="R10" s="68"/>
      <c r="S10" s="68"/>
    </row>
    <row r="11" spans="2:27" ht="13.15">
      <c r="B11" s="65" t="s">
        <v>495</v>
      </c>
      <c r="C11" s="194"/>
      <c r="D11" s="195"/>
      <c r="E11" s="211" t="s">
        <v>496</v>
      </c>
      <c r="F11" s="212"/>
      <c r="G11" s="213">
        <f>+C9+C10-C11</f>
        <v>0</v>
      </c>
      <c r="H11" s="214"/>
      <c r="J11" s="132" t="s">
        <v>497</v>
      </c>
      <c r="K11" s="94"/>
    </row>
    <row r="12" spans="2:27" ht="5.25" customHeight="1" thickBot="1"/>
    <row r="13" spans="2:27" ht="12" customHeight="1" thickBot="1">
      <c r="B13" s="217" t="s">
        <v>498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9"/>
      <c r="O13" s="70"/>
      <c r="P13" s="181"/>
      <c r="Q13" s="70"/>
      <c r="R13" s="70"/>
      <c r="S13" s="70"/>
    </row>
    <row r="14" spans="2:27" ht="60" customHeight="1" thickBot="1">
      <c r="B14" s="133" t="s">
        <v>499</v>
      </c>
      <c r="C14" s="133" t="s">
        <v>500</v>
      </c>
      <c r="D14" s="133" t="s">
        <v>501</v>
      </c>
      <c r="E14" s="133" t="s">
        <v>502</v>
      </c>
      <c r="F14" s="133" t="s">
        <v>503</v>
      </c>
      <c r="G14" s="134" t="s">
        <v>504</v>
      </c>
      <c r="H14" s="133" t="s">
        <v>16</v>
      </c>
      <c r="I14" s="134" t="s">
        <v>505</v>
      </c>
      <c r="J14" s="133" t="s">
        <v>506</v>
      </c>
      <c r="K14" s="134" t="s">
        <v>507</v>
      </c>
      <c r="L14" s="135" t="s">
        <v>508</v>
      </c>
      <c r="M14" s="133" t="s">
        <v>509</v>
      </c>
      <c r="N14" s="134" t="s">
        <v>510</v>
      </c>
      <c r="P14" s="174"/>
    </row>
    <row r="15" spans="2:27" ht="12">
      <c r="B15" s="123" t="s">
        <v>511</v>
      </c>
      <c r="C15" s="136">
        <f>+C5</f>
        <v>0</v>
      </c>
      <c r="D15" s="124">
        <f>+C7</f>
        <v>0</v>
      </c>
      <c r="E15" s="125">
        <f>+H7</f>
        <v>0</v>
      </c>
      <c r="F15" s="126"/>
      <c r="G15" s="127"/>
      <c r="H15" s="127"/>
      <c r="I15" s="127"/>
      <c r="J15" s="127"/>
      <c r="K15" s="127"/>
      <c r="L15" s="126"/>
      <c r="M15" s="127"/>
      <c r="N15" s="126">
        <f>SUM(F15:M15)</f>
        <v>0</v>
      </c>
      <c r="O15" s="86"/>
    </row>
    <row r="16" spans="2:27" ht="12">
      <c r="B16" s="64" t="s">
        <v>512</v>
      </c>
      <c r="C16" s="71" t="s">
        <v>513</v>
      </c>
      <c r="D16" s="71"/>
      <c r="E16" s="72"/>
      <c r="F16" s="97"/>
      <c r="G16" s="73"/>
      <c r="H16" s="97">
        <f>F16*0.12</f>
        <v>0</v>
      </c>
      <c r="I16" s="183"/>
      <c r="J16" s="97">
        <f>($N$15+$F$17+$F$18)*0.005</f>
        <v>0</v>
      </c>
      <c r="K16" s="73">
        <v>0</v>
      </c>
      <c r="L16" s="73"/>
      <c r="M16" s="73">
        <f>SUM(H16:L16)</f>
        <v>0</v>
      </c>
      <c r="N16" s="73">
        <f>+I16+J16+K16+L16</f>
        <v>0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109"/>
    </row>
    <row r="17" spans="1:27" s="85" customFormat="1" ht="19.5" customHeight="1">
      <c r="A17" s="63"/>
      <c r="B17" s="116" t="s">
        <v>514</v>
      </c>
      <c r="C17" s="137" t="s">
        <v>515</v>
      </c>
      <c r="D17" s="71"/>
      <c r="E17" s="122">
        <f>+E16</f>
        <v>0</v>
      </c>
      <c r="F17" s="138"/>
      <c r="G17" s="117"/>
      <c r="H17" s="117"/>
      <c r="I17" s="117"/>
      <c r="J17" s="117"/>
      <c r="K17" s="117"/>
      <c r="L17" s="117"/>
      <c r="M17" s="117"/>
      <c r="N17" s="117"/>
      <c r="O17" s="139" t="s">
        <v>516</v>
      </c>
      <c r="P17" s="140"/>
      <c r="Y17" s="141"/>
      <c r="Z17" s="141"/>
      <c r="AA17" s="63"/>
    </row>
    <row r="18" spans="1:27" ht="12">
      <c r="B18" s="64" t="s">
        <v>517</v>
      </c>
      <c r="C18" s="71" t="s">
        <v>513</v>
      </c>
      <c r="D18" s="142"/>
      <c r="E18" s="72">
        <f>+E17</f>
        <v>0</v>
      </c>
      <c r="F18" s="97"/>
      <c r="G18" s="73"/>
      <c r="H18" s="73"/>
      <c r="I18" s="73"/>
      <c r="J18" s="73"/>
      <c r="K18" s="73"/>
      <c r="L18" s="73"/>
      <c r="M18" s="73"/>
      <c r="N18" s="73"/>
      <c r="O18" s="143" t="s">
        <v>518</v>
      </c>
      <c r="P18" s="74"/>
    </row>
    <row r="19" spans="1:27" ht="12">
      <c r="B19" s="65" t="s">
        <v>519</v>
      </c>
      <c r="C19" s="71"/>
      <c r="D19" s="71"/>
      <c r="E19" s="72"/>
      <c r="F19" s="131"/>
      <c r="G19" s="73"/>
      <c r="H19" s="73">
        <f>F19*0.12</f>
        <v>0</v>
      </c>
      <c r="I19" s="73"/>
      <c r="J19" s="73"/>
      <c r="K19" s="73"/>
      <c r="L19" s="73"/>
      <c r="M19" s="73">
        <f t="shared" ref="M19:M29" si="0">SUM(F19:L19)</f>
        <v>0</v>
      </c>
      <c r="N19" s="73">
        <f t="shared" ref="N19:N29" si="1">F19</f>
        <v>0</v>
      </c>
      <c r="O19" s="143">
        <f>SUM(N19:N29)</f>
        <v>0</v>
      </c>
      <c r="P19" s="74"/>
    </row>
    <row r="20" spans="1:27" ht="12">
      <c r="B20" s="65" t="s">
        <v>520</v>
      </c>
      <c r="C20" s="71"/>
      <c r="D20" s="93"/>
      <c r="E20" s="72"/>
      <c r="F20" s="131"/>
      <c r="G20" s="73"/>
      <c r="H20" s="73">
        <v>0</v>
      </c>
      <c r="I20" s="73"/>
      <c r="J20" s="73"/>
      <c r="K20" s="73"/>
      <c r="L20" s="73"/>
      <c r="M20" s="73">
        <f>SUM(F20:L20)</f>
        <v>0</v>
      </c>
      <c r="N20" s="73">
        <f>F20</f>
        <v>0</v>
      </c>
      <c r="O20" s="74"/>
      <c r="P20" s="74"/>
      <c r="Q20" s="74">
        <f>+L15-2050</f>
        <v>-2050</v>
      </c>
    </row>
    <row r="21" spans="1:27" ht="12">
      <c r="B21" s="65" t="s">
        <v>521</v>
      </c>
      <c r="C21" s="71"/>
      <c r="D21" s="71"/>
      <c r="E21" s="72"/>
      <c r="F21" s="131"/>
      <c r="G21" s="73"/>
      <c r="H21" s="73">
        <f>F21*0.12</f>
        <v>0</v>
      </c>
      <c r="I21" s="73"/>
      <c r="J21" s="73"/>
      <c r="K21" s="73"/>
      <c r="L21" s="73"/>
      <c r="M21" s="73">
        <f>SUM(F21:L21)</f>
        <v>0</v>
      </c>
      <c r="N21" s="73">
        <f>F21</f>
        <v>0</v>
      </c>
      <c r="O21" s="74"/>
      <c r="P21" s="74"/>
    </row>
    <row r="22" spans="1:27">
      <c r="B22" s="64" t="s">
        <v>522</v>
      </c>
      <c r="C22" s="71"/>
      <c r="D22" s="71"/>
      <c r="E22" s="72"/>
      <c r="F22" s="131"/>
      <c r="G22" s="73"/>
      <c r="H22" s="73">
        <f>F22*0.12</f>
        <v>0</v>
      </c>
      <c r="I22" s="73"/>
      <c r="J22" s="73"/>
      <c r="K22" s="73"/>
      <c r="L22" s="73"/>
      <c r="M22" s="73">
        <f>SUM(F22:L22)</f>
        <v>0</v>
      </c>
      <c r="N22" s="73">
        <f>F22</f>
        <v>0</v>
      </c>
      <c r="O22" s="74"/>
      <c r="P22" s="74"/>
    </row>
    <row r="23" spans="1:27">
      <c r="B23" s="64" t="s">
        <v>519</v>
      </c>
      <c r="C23" s="71"/>
      <c r="D23" s="71"/>
      <c r="E23" s="72"/>
      <c r="F23" s="131"/>
      <c r="G23" s="73"/>
      <c r="H23" s="73">
        <f>F23*0.12</f>
        <v>0</v>
      </c>
      <c r="I23" s="73"/>
      <c r="J23" s="73"/>
      <c r="K23" s="73"/>
      <c r="L23" s="73"/>
      <c r="M23" s="73">
        <f t="shared" si="0"/>
        <v>0</v>
      </c>
      <c r="N23" s="73">
        <f t="shared" si="1"/>
        <v>0</v>
      </c>
      <c r="O23" s="74"/>
      <c r="P23" s="74"/>
    </row>
    <row r="24" spans="1:27">
      <c r="B24" s="64" t="s">
        <v>519</v>
      </c>
      <c r="C24" s="71"/>
      <c r="D24" s="71"/>
      <c r="E24" s="72"/>
      <c r="F24" s="73"/>
      <c r="G24" s="73"/>
      <c r="H24" s="73">
        <f>F24*0.12</f>
        <v>0</v>
      </c>
      <c r="I24" s="73"/>
      <c r="J24" s="73"/>
      <c r="K24" s="73"/>
      <c r="L24" s="73"/>
      <c r="M24" s="73">
        <f>SUM(F24:L24)</f>
        <v>0</v>
      </c>
      <c r="N24" s="73">
        <f>F24</f>
        <v>0</v>
      </c>
      <c r="O24" s="74"/>
      <c r="P24" s="74"/>
    </row>
    <row r="25" spans="1:27">
      <c r="B25" s="64" t="s">
        <v>523</v>
      </c>
      <c r="C25" s="71"/>
      <c r="D25" s="71"/>
      <c r="E25" s="72"/>
      <c r="F25" s="73"/>
      <c r="G25" s="73"/>
      <c r="H25" s="73">
        <v>0</v>
      </c>
      <c r="I25" s="73"/>
      <c r="J25" s="73"/>
      <c r="K25" s="73"/>
      <c r="L25" s="73"/>
      <c r="M25" s="73">
        <f>SUM(F25:L25)</f>
        <v>0</v>
      </c>
      <c r="N25" s="73">
        <f>F25</f>
        <v>0</v>
      </c>
      <c r="O25" s="74"/>
      <c r="P25" s="74"/>
    </row>
    <row r="26" spans="1:27">
      <c r="B26" s="64" t="s">
        <v>524</v>
      </c>
      <c r="C26" s="71"/>
      <c r="D26" s="71"/>
      <c r="E26" s="72"/>
      <c r="F26" s="73"/>
      <c r="G26" s="73"/>
      <c r="H26" s="73">
        <f>F26*0.12</f>
        <v>0</v>
      </c>
      <c r="I26" s="73"/>
      <c r="J26" s="73"/>
      <c r="K26" s="73"/>
      <c r="L26" s="73"/>
      <c r="M26" s="73">
        <f>SUM(F26:L26)</f>
        <v>0</v>
      </c>
      <c r="N26" s="73">
        <f>F26</f>
        <v>0</v>
      </c>
      <c r="O26" s="74"/>
      <c r="P26" s="74"/>
    </row>
    <row r="27" spans="1:27" ht="12">
      <c r="B27" s="65" t="s">
        <v>517</v>
      </c>
      <c r="C27" s="71"/>
      <c r="D27" s="71"/>
      <c r="E27" s="72"/>
      <c r="F27" s="131"/>
      <c r="G27" s="73"/>
      <c r="H27" s="73">
        <f>F27*0.12</f>
        <v>0</v>
      </c>
      <c r="I27" s="73"/>
      <c r="J27" s="73"/>
      <c r="K27" s="73"/>
      <c r="L27" s="73"/>
      <c r="M27" s="73">
        <f>SUM(F27:L27)</f>
        <v>0</v>
      </c>
      <c r="N27" s="73">
        <f>F27</f>
        <v>0</v>
      </c>
      <c r="O27" s="74"/>
      <c r="P27" s="74"/>
    </row>
    <row r="28" spans="1:27" ht="11.25" customHeight="1">
      <c r="B28" s="64" t="s">
        <v>525</v>
      </c>
      <c r="C28" s="71"/>
      <c r="D28" s="71"/>
      <c r="E28" s="72"/>
      <c r="F28" s="73"/>
      <c r="G28" s="73"/>
      <c r="H28" s="73"/>
      <c r="I28" s="73"/>
      <c r="J28" s="73"/>
      <c r="K28" s="73"/>
      <c r="L28" s="73"/>
      <c r="M28" s="73">
        <f t="shared" si="0"/>
        <v>0</v>
      </c>
      <c r="N28" s="73">
        <f t="shared" si="1"/>
        <v>0</v>
      </c>
      <c r="O28" s="74"/>
      <c r="P28" s="74"/>
      <c r="R28" s="215" t="s">
        <v>526</v>
      </c>
    </row>
    <row r="29" spans="1:27" ht="11.25" customHeight="1">
      <c r="B29" s="64" t="s">
        <v>527</v>
      </c>
      <c r="C29" s="71"/>
      <c r="D29" s="71"/>
      <c r="E29" s="72"/>
      <c r="F29" s="73"/>
      <c r="G29" s="73"/>
      <c r="H29" s="73">
        <f>F29*0.12</f>
        <v>0</v>
      </c>
      <c r="I29" s="73"/>
      <c r="J29" s="73"/>
      <c r="K29" s="73"/>
      <c r="L29" s="73"/>
      <c r="M29" s="73">
        <f t="shared" si="0"/>
        <v>0</v>
      </c>
      <c r="N29" s="73">
        <f t="shared" si="1"/>
        <v>0</v>
      </c>
      <c r="O29" s="182"/>
      <c r="P29" s="74"/>
      <c r="R29" s="215"/>
      <c r="S29" s="110"/>
    </row>
    <row r="30" spans="1:27">
      <c r="B30" s="64" t="s">
        <v>528</v>
      </c>
      <c r="F30" s="73">
        <f>+F15*3.5%</f>
        <v>0</v>
      </c>
      <c r="G30" s="73"/>
      <c r="H30" s="73">
        <v>0</v>
      </c>
      <c r="I30" s="73"/>
      <c r="J30" s="73"/>
      <c r="K30" s="73"/>
      <c r="L30" s="73">
        <f>+L15*5%</f>
        <v>0</v>
      </c>
      <c r="M30" s="73">
        <f>SUM(F30:L30)</f>
        <v>0</v>
      </c>
      <c r="N30" s="73">
        <f>F30+L30</f>
        <v>0</v>
      </c>
      <c r="O30" s="74"/>
      <c r="Q30" s="74"/>
      <c r="R30" s="215"/>
      <c r="S30" s="110"/>
    </row>
    <row r="31" spans="1:27" ht="12">
      <c r="B31" s="75" t="s">
        <v>529</v>
      </c>
      <c r="C31" s="76"/>
      <c r="D31" s="76"/>
      <c r="E31" s="76"/>
      <c r="F31" s="77">
        <f>SUM(F15:F30)-F17-F18</f>
        <v>0</v>
      </c>
      <c r="G31" s="77"/>
      <c r="H31" s="77">
        <f>SUM(H15:H30)</f>
        <v>0</v>
      </c>
      <c r="I31" s="77">
        <f>SUM(I15:I30)</f>
        <v>0</v>
      </c>
      <c r="J31" s="77">
        <f>SUM(J15:J30)</f>
        <v>0</v>
      </c>
      <c r="K31" s="77">
        <f>SUM(K15:K30)</f>
        <v>0</v>
      </c>
      <c r="L31" s="77"/>
      <c r="M31" s="77">
        <f>SUM(M15:M30)</f>
        <v>0</v>
      </c>
      <c r="N31" s="77">
        <f>SUM(N15:N30)</f>
        <v>0</v>
      </c>
      <c r="O31" s="74"/>
      <c r="R31" s="215"/>
      <c r="S31" s="110"/>
    </row>
    <row r="32" spans="1:27" ht="9.75" customHeight="1">
      <c r="O32" s="74"/>
      <c r="R32" s="216"/>
      <c r="S32" s="111"/>
    </row>
    <row r="33" spans="1:31" s="130" customFormat="1" ht="42" customHeight="1">
      <c r="A33" s="144" t="s">
        <v>530</v>
      </c>
      <c r="B33" s="145" t="s">
        <v>531</v>
      </c>
      <c r="C33" s="145" t="s">
        <v>532</v>
      </c>
      <c r="D33" s="145" t="s">
        <v>533</v>
      </c>
      <c r="E33" s="145" t="s">
        <v>534</v>
      </c>
      <c r="F33" s="145" t="s">
        <v>6</v>
      </c>
      <c r="G33" s="146" t="s">
        <v>535</v>
      </c>
      <c r="H33" s="144" t="s">
        <v>536</v>
      </c>
      <c r="I33" s="147" t="s">
        <v>537</v>
      </c>
      <c r="J33" s="144" t="s">
        <v>9</v>
      </c>
      <c r="K33" s="144" t="s">
        <v>538</v>
      </c>
      <c r="L33" s="144" t="s">
        <v>539</v>
      </c>
      <c r="M33" s="148" t="s">
        <v>12</v>
      </c>
      <c r="N33" s="149" t="s">
        <v>13</v>
      </c>
      <c r="O33" s="146" t="s">
        <v>14</v>
      </c>
      <c r="P33" s="150" t="s">
        <v>540</v>
      </c>
      <c r="Q33" s="149" t="s">
        <v>15</v>
      </c>
      <c r="R33" s="149" t="s">
        <v>541</v>
      </c>
      <c r="S33" s="149" t="s">
        <v>16</v>
      </c>
      <c r="T33" s="144" t="s">
        <v>542</v>
      </c>
      <c r="U33" s="144" t="s">
        <v>543</v>
      </c>
      <c r="V33" s="151" t="s">
        <v>544</v>
      </c>
      <c r="W33" s="152" t="s">
        <v>545</v>
      </c>
      <c r="X33" s="153" t="s">
        <v>528</v>
      </c>
      <c r="Y33" s="154" t="s">
        <v>546</v>
      </c>
      <c r="Z33" s="88" t="s">
        <v>5</v>
      </c>
      <c r="AA33" s="88" t="s">
        <v>547</v>
      </c>
      <c r="AB33" s="95" t="s">
        <v>548</v>
      </c>
      <c r="AD33" s="130" t="s">
        <v>549</v>
      </c>
    </row>
    <row r="34" spans="1:31" ht="14.25" customHeight="1">
      <c r="A34" s="63">
        <v>1</v>
      </c>
      <c r="B34" s="114"/>
      <c r="C34" s="114"/>
      <c r="D34" s="115"/>
      <c r="E34" s="115"/>
      <c r="F34" s="115"/>
      <c r="G34" s="176"/>
      <c r="H34" s="175">
        <f t="shared" ref="H34:H38" si="2">+F34*G34</f>
        <v>0</v>
      </c>
      <c r="I34" s="180" t="e">
        <f>+H34/H$39</f>
        <v>#DIV/0!</v>
      </c>
      <c r="J34" s="78" t="e">
        <f>$J$39*I34</f>
        <v>#DIV/0!</v>
      </c>
      <c r="K34" s="79" t="e">
        <f>$K$39*I34</f>
        <v>#DIV/0!</v>
      </c>
      <c r="L34" s="78" t="e">
        <f>$L$39*I34</f>
        <v>#DIV/0!</v>
      </c>
      <c r="M34" s="106" t="e">
        <f t="shared" ref="M34:M38" si="3">H34+J34+K34+L34</f>
        <v>#DIV/0!</v>
      </c>
      <c r="N34" s="80">
        <v>0.20200000000000001</v>
      </c>
      <c r="O34" s="80">
        <f>IF($I$16&gt;0,(M34+R34)*N34,0)</f>
        <v>0</v>
      </c>
      <c r="P34" s="80"/>
      <c r="Q34" s="80">
        <f t="shared" ref="Q34:Q38" si="4">IF($J$16&gt;0,(M34+R34)*0.005,0)</f>
        <v>0</v>
      </c>
      <c r="R34" s="80" t="e">
        <f>+($F$17+$F$18)*I34</f>
        <v>#DIV/0!</v>
      </c>
      <c r="S34" s="78" t="e">
        <f t="shared" ref="S34:S38" si="5">(M34+O34+Q34+R34)*0.12</f>
        <v>#DIV/0!</v>
      </c>
      <c r="T34" s="107" t="e">
        <f t="shared" ref="T34:T38" si="6">($N$19+$N$22+$N$23+$N$27+$N$28+$N$20+$N$21+$N$29+$N$26+$N$24+$N$25)*I34</f>
        <v>#DIV/0!</v>
      </c>
      <c r="U34" s="107" t="e">
        <f>+$U$39*I34</f>
        <v>#DIV/0!</v>
      </c>
      <c r="V34" s="106" t="e">
        <f>H34+J34+K34+O34+P34+Q34+T34+U34</f>
        <v>#DIV/0!</v>
      </c>
      <c r="W34" s="96" t="e">
        <f t="shared" ref="W34:W38" si="7">+V34/F34</f>
        <v>#DIV/0!</v>
      </c>
      <c r="X34" s="89" t="e">
        <f>(H34+J34+K34)*3.75%</f>
        <v>#DIV/0!</v>
      </c>
      <c r="Y34" s="129"/>
      <c r="Z34" s="129"/>
      <c r="AA34" s="129"/>
      <c r="AB34" s="204" t="s">
        <v>550</v>
      </c>
      <c r="AD34" s="174"/>
    </row>
    <row r="35" spans="1:31" ht="14.25" customHeight="1">
      <c r="A35" s="63">
        <v>2</v>
      </c>
      <c r="B35" s="114"/>
      <c r="C35" s="114"/>
      <c r="D35" s="115"/>
      <c r="E35" s="115"/>
      <c r="F35" s="115"/>
      <c r="G35" s="176"/>
      <c r="H35" s="175">
        <f t="shared" si="2"/>
        <v>0</v>
      </c>
      <c r="I35" s="180" t="e">
        <f>+H35/H$39</f>
        <v>#DIV/0!</v>
      </c>
      <c r="J35" s="78" t="e">
        <f>$J$39*I35</f>
        <v>#DIV/0!</v>
      </c>
      <c r="K35" s="79" t="e">
        <f>$K$39*I35</f>
        <v>#DIV/0!</v>
      </c>
      <c r="L35" s="78" t="e">
        <f>$L$39*I35</f>
        <v>#DIV/0!</v>
      </c>
      <c r="M35" s="106" t="e">
        <f t="shared" si="3"/>
        <v>#DIV/0!</v>
      </c>
      <c r="N35" s="80">
        <v>0.20200000000000001</v>
      </c>
      <c r="O35" s="80">
        <f t="shared" ref="O35:O38" si="8">IF($I$16&gt;0,(M35+R35)*N35,0)</f>
        <v>0</v>
      </c>
      <c r="P35" s="80"/>
      <c r="Q35" s="80">
        <f t="shared" si="4"/>
        <v>0</v>
      </c>
      <c r="R35" s="80" t="e">
        <f t="shared" ref="R35:R38" si="9">+($F$17+$F$18)*I35</f>
        <v>#DIV/0!</v>
      </c>
      <c r="S35" s="78" t="e">
        <f t="shared" si="5"/>
        <v>#DIV/0!</v>
      </c>
      <c r="T35" s="107" t="e">
        <f t="shared" si="6"/>
        <v>#DIV/0!</v>
      </c>
      <c r="U35" s="107" t="e">
        <f>+$U$39*I35</f>
        <v>#DIV/0!</v>
      </c>
      <c r="V35" s="106" t="e">
        <f t="shared" ref="V35:V38" si="10">H35+J35+K35+O35+P35+Q35+T35+U35</f>
        <v>#DIV/0!</v>
      </c>
      <c r="W35" s="96" t="e">
        <f t="shared" si="7"/>
        <v>#DIV/0!</v>
      </c>
      <c r="X35" s="89" t="e">
        <f t="shared" ref="X35:X38" si="11">(H35+J35+K35)*3.75%</f>
        <v>#DIV/0!</v>
      </c>
      <c r="Y35" s="129"/>
      <c r="Z35" s="129"/>
      <c r="AA35" s="129"/>
      <c r="AB35" s="205"/>
      <c r="AD35" s="174"/>
    </row>
    <row r="36" spans="1:31" ht="14.25" customHeight="1">
      <c r="A36" s="63">
        <v>3</v>
      </c>
      <c r="B36" s="114"/>
      <c r="C36" s="114"/>
      <c r="D36" s="115"/>
      <c r="E36" s="115"/>
      <c r="F36" s="115"/>
      <c r="G36" s="176"/>
      <c r="H36" s="175">
        <f t="shared" si="2"/>
        <v>0</v>
      </c>
      <c r="I36" s="180" t="e">
        <f>+H36/H$39</f>
        <v>#DIV/0!</v>
      </c>
      <c r="J36" s="78" t="e">
        <f>$J$39*I36</f>
        <v>#DIV/0!</v>
      </c>
      <c r="K36" s="79" t="e">
        <f>$K$39*I36</f>
        <v>#DIV/0!</v>
      </c>
      <c r="L36" s="78" t="e">
        <f>$L$39*I36</f>
        <v>#DIV/0!</v>
      </c>
      <c r="M36" s="106" t="e">
        <f t="shared" si="3"/>
        <v>#DIV/0!</v>
      </c>
      <c r="N36" s="80">
        <v>0.20200000000000001</v>
      </c>
      <c r="O36" s="80">
        <f t="shared" si="8"/>
        <v>0</v>
      </c>
      <c r="P36" s="80"/>
      <c r="Q36" s="80">
        <f t="shared" si="4"/>
        <v>0</v>
      </c>
      <c r="R36" s="80" t="e">
        <f t="shared" si="9"/>
        <v>#DIV/0!</v>
      </c>
      <c r="S36" s="78" t="e">
        <f t="shared" si="5"/>
        <v>#DIV/0!</v>
      </c>
      <c r="T36" s="107" t="e">
        <f t="shared" si="6"/>
        <v>#DIV/0!</v>
      </c>
      <c r="U36" s="107" t="e">
        <f>+$U$39*I36</f>
        <v>#DIV/0!</v>
      </c>
      <c r="V36" s="106" t="e">
        <f t="shared" si="10"/>
        <v>#DIV/0!</v>
      </c>
      <c r="W36" s="96" t="e">
        <f t="shared" si="7"/>
        <v>#DIV/0!</v>
      </c>
      <c r="X36" s="89" t="e">
        <f t="shared" si="11"/>
        <v>#DIV/0!</v>
      </c>
      <c r="Y36" s="129"/>
      <c r="Z36" s="129"/>
      <c r="AA36" s="129"/>
      <c r="AB36" s="205"/>
    </row>
    <row r="37" spans="1:31" ht="14.25" customHeight="1">
      <c r="A37" s="63">
        <v>4</v>
      </c>
      <c r="B37" s="114"/>
      <c r="C37" s="114"/>
      <c r="D37" s="115"/>
      <c r="E37" s="115"/>
      <c r="F37" s="115"/>
      <c r="G37" s="176"/>
      <c r="H37" s="175">
        <f t="shared" si="2"/>
        <v>0</v>
      </c>
      <c r="I37" s="180" t="e">
        <f>+H37/H$39</f>
        <v>#DIV/0!</v>
      </c>
      <c r="J37" s="78" t="e">
        <f>$J$39*I37</f>
        <v>#DIV/0!</v>
      </c>
      <c r="K37" s="79" t="e">
        <f>$K$39*I37</f>
        <v>#DIV/0!</v>
      </c>
      <c r="L37" s="78" t="e">
        <f>$L$39*I37</f>
        <v>#DIV/0!</v>
      </c>
      <c r="M37" s="106" t="e">
        <f t="shared" si="3"/>
        <v>#DIV/0!</v>
      </c>
      <c r="N37" s="80">
        <v>0.20200000000000001</v>
      </c>
      <c r="O37" s="80">
        <f t="shared" si="8"/>
        <v>0</v>
      </c>
      <c r="P37" s="80"/>
      <c r="Q37" s="80">
        <f t="shared" si="4"/>
        <v>0</v>
      </c>
      <c r="R37" s="80" t="e">
        <f t="shared" si="9"/>
        <v>#DIV/0!</v>
      </c>
      <c r="S37" s="78" t="e">
        <f t="shared" si="5"/>
        <v>#DIV/0!</v>
      </c>
      <c r="T37" s="107" t="e">
        <f t="shared" si="6"/>
        <v>#DIV/0!</v>
      </c>
      <c r="U37" s="107" t="e">
        <f>+$U$39*I37</f>
        <v>#DIV/0!</v>
      </c>
      <c r="V37" s="106" t="e">
        <f t="shared" si="10"/>
        <v>#DIV/0!</v>
      </c>
      <c r="W37" s="96" t="e">
        <f t="shared" si="7"/>
        <v>#DIV/0!</v>
      </c>
      <c r="X37" s="89" t="e">
        <f t="shared" si="11"/>
        <v>#DIV/0!</v>
      </c>
      <c r="Y37" s="129"/>
      <c r="Z37" s="129"/>
      <c r="AA37" s="129"/>
      <c r="AB37" s="205"/>
    </row>
    <row r="38" spans="1:31" ht="14.25" customHeight="1">
      <c r="A38" s="63">
        <v>5</v>
      </c>
      <c r="B38" s="114"/>
      <c r="C38" s="114"/>
      <c r="D38" s="115"/>
      <c r="E38" s="115"/>
      <c r="F38" s="115"/>
      <c r="G38" s="176"/>
      <c r="H38" s="175">
        <f t="shared" si="2"/>
        <v>0</v>
      </c>
      <c r="I38" s="180" t="e">
        <f>+H38/H$39</f>
        <v>#DIV/0!</v>
      </c>
      <c r="J38" s="78" t="e">
        <f>$J$39*I38</f>
        <v>#DIV/0!</v>
      </c>
      <c r="K38" s="79" t="e">
        <f>$K$39*I38</f>
        <v>#DIV/0!</v>
      </c>
      <c r="L38" s="78" t="e">
        <f>$L$39*I38</f>
        <v>#DIV/0!</v>
      </c>
      <c r="M38" s="106" t="e">
        <f t="shared" si="3"/>
        <v>#DIV/0!</v>
      </c>
      <c r="N38" s="80">
        <v>0.20200000000000001</v>
      </c>
      <c r="O38" s="80">
        <f t="shared" si="8"/>
        <v>0</v>
      </c>
      <c r="P38" s="80"/>
      <c r="Q38" s="80">
        <f t="shared" si="4"/>
        <v>0</v>
      </c>
      <c r="R38" s="80" t="e">
        <f t="shared" si="9"/>
        <v>#DIV/0!</v>
      </c>
      <c r="S38" s="78" t="e">
        <f t="shared" si="5"/>
        <v>#DIV/0!</v>
      </c>
      <c r="T38" s="107" t="e">
        <f t="shared" si="6"/>
        <v>#DIV/0!</v>
      </c>
      <c r="U38" s="107" t="e">
        <f>+$U$39*I38</f>
        <v>#DIV/0!</v>
      </c>
      <c r="V38" s="106" t="e">
        <f t="shared" si="10"/>
        <v>#DIV/0!</v>
      </c>
      <c r="W38" s="96" t="e">
        <f t="shared" si="7"/>
        <v>#DIV/0!</v>
      </c>
      <c r="X38" s="89" t="e">
        <f t="shared" si="11"/>
        <v>#DIV/0!</v>
      </c>
      <c r="Y38" s="129"/>
      <c r="Z38" s="129"/>
      <c r="AA38" s="129"/>
      <c r="AB38" s="178"/>
    </row>
    <row r="39" spans="1:31" ht="13.9" thickBot="1">
      <c r="B39" s="114"/>
      <c r="C39" s="114"/>
      <c r="D39" s="115"/>
      <c r="E39" s="115"/>
      <c r="F39" s="115"/>
      <c r="G39" s="176"/>
      <c r="H39" s="81">
        <f>SUM(H34:H38)</f>
        <v>0</v>
      </c>
      <c r="I39" s="81" t="e">
        <f>SUM(I34:I38)</f>
        <v>#DIV/0!</v>
      </c>
      <c r="J39" s="98"/>
      <c r="K39" s="98"/>
      <c r="L39" s="98"/>
      <c r="M39" s="81" t="e">
        <f>SUM(M34:M38)</f>
        <v>#DIV/0!</v>
      </c>
      <c r="N39" s="81"/>
      <c r="O39" s="81">
        <f>SUM(O34:O38)</f>
        <v>0</v>
      </c>
      <c r="P39" s="81">
        <f>SUM(P34:P38)</f>
        <v>0</v>
      </c>
      <c r="Q39" s="81">
        <f>SUM(Q34:Q38)</f>
        <v>0</v>
      </c>
      <c r="R39" s="98" t="e">
        <f>SUM(R34:R38)</f>
        <v>#DIV/0!</v>
      </c>
      <c r="S39" s="99" t="e">
        <f>SUM(S34:S38)</f>
        <v>#DIV/0!</v>
      </c>
      <c r="T39" s="83" t="e">
        <f>SUM(T34:T38)</f>
        <v>#DIV/0!</v>
      </c>
      <c r="U39" s="121"/>
      <c r="V39" s="82" t="e">
        <f>SUM(V34:V38)</f>
        <v>#DIV/0!</v>
      </c>
      <c r="W39" s="81" t="e">
        <f>SUM(W34:W38)</f>
        <v>#DIV/0!</v>
      </c>
      <c r="X39" s="90" t="e">
        <f>SUM(X34:X38)</f>
        <v>#DIV/0!</v>
      </c>
      <c r="Y39" s="91"/>
      <c r="Z39" s="91"/>
      <c r="AA39" s="92"/>
    </row>
    <row r="40" spans="1:31">
      <c r="C40" s="84"/>
      <c r="E40" s="85"/>
      <c r="H40" s="86">
        <f>H39-F15</f>
        <v>0</v>
      </c>
      <c r="T40" s="73"/>
      <c r="U40" s="73"/>
      <c r="V40" s="73"/>
      <c r="X40" s="174" t="e">
        <f>X39-N30</f>
        <v>#DIV/0!</v>
      </c>
    </row>
    <row r="41" spans="1:31" ht="15.6">
      <c r="C41" s="84"/>
      <c r="E41" s="85"/>
      <c r="N41" s="102" t="s">
        <v>513</v>
      </c>
      <c r="O41" s="155">
        <v>0</v>
      </c>
      <c r="P41" s="156"/>
      <c r="Q41" s="155">
        <v>0</v>
      </c>
      <c r="R41" s="156"/>
      <c r="S41" s="155">
        <v>0</v>
      </c>
      <c r="T41" s="155"/>
      <c r="U41" s="155"/>
      <c r="V41" s="108">
        <f>+N31-N30-L39</f>
        <v>0</v>
      </c>
      <c r="W41" s="65"/>
      <c r="X41" s="157"/>
      <c r="Y41" s="179"/>
      <c r="Z41" s="179"/>
      <c r="AA41" s="158"/>
    </row>
    <row r="42" spans="1:31" ht="15.6">
      <c r="C42" s="84"/>
      <c r="E42" s="85"/>
      <c r="H42" s="73"/>
      <c r="M42" s="73"/>
      <c r="N42" s="102" t="s">
        <v>551</v>
      </c>
      <c r="O42" s="159">
        <f>+O39-O41</f>
        <v>0</v>
      </c>
      <c r="P42" s="65"/>
      <c r="Q42" s="159">
        <f>+Q39-Q41</f>
        <v>0</v>
      </c>
      <c r="R42" s="156"/>
      <c r="S42" s="159" t="e">
        <f>+S39-S41</f>
        <v>#DIV/0!</v>
      </c>
      <c r="T42" s="159"/>
      <c r="U42" s="155"/>
      <c r="V42" s="159" t="e">
        <f>+V39-V41</f>
        <v>#DIV/0!</v>
      </c>
      <c r="W42" s="65"/>
      <c r="X42" s="160"/>
      <c r="Y42" s="158"/>
      <c r="Z42" s="158"/>
      <c r="AA42" s="158"/>
      <c r="AB42" s="158"/>
    </row>
    <row r="43" spans="1:31" ht="12">
      <c r="C43" s="84"/>
      <c r="E43" s="85"/>
      <c r="G43" s="73"/>
      <c r="N43" s="100" t="s">
        <v>552</v>
      </c>
      <c r="O43" s="100">
        <v>0</v>
      </c>
      <c r="P43" s="73"/>
      <c r="Q43" s="100">
        <v>0</v>
      </c>
      <c r="R43" s="73"/>
      <c r="S43" s="100">
        <v>0</v>
      </c>
      <c r="T43" s="73"/>
      <c r="U43" s="73"/>
      <c r="V43" s="100">
        <v>1148.32</v>
      </c>
      <c r="W43" s="100"/>
      <c r="Y43" s="73"/>
      <c r="Z43" s="73"/>
      <c r="AA43" s="73"/>
    </row>
    <row r="44" spans="1:31" ht="15.6">
      <c r="C44" s="84"/>
      <c r="E44" s="85"/>
      <c r="N44" s="101" t="s">
        <v>553</v>
      </c>
      <c r="O44" s="103">
        <f>+O39-O43</f>
        <v>0</v>
      </c>
      <c r="P44" s="73"/>
      <c r="Q44" s="103">
        <f>+Q43-Q41</f>
        <v>0</v>
      </c>
      <c r="R44" s="73"/>
      <c r="S44" s="103" t="e">
        <f>+S43-S39</f>
        <v>#DIV/0!</v>
      </c>
      <c r="T44" s="73"/>
      <c r="U44" s="73"/>
      <c r="V44" s="103" t="e">
        <f>+V39-V43</f>
        <v>#DIV/0!</v>
      </c>
      <c r="W44" s="158"/>
      <c r="X44" s="158"/>
      <c r="Y44" s="158"/>
      <c r="Z44" s="158"/>
      <c r="AA44" s="158"/>
    </row>
    <row r="45" spans="1:31" ht="15.6">
      <c r="C45" s="84"/>
      <c r="E45" s="85"/>
      <c r="O45" s="73">
        <f>+O41-O43</f>
        <v>0</v>
      </c>
      <c r="P45" s="73"/>
      <c r="Q45" s="73">
        <f>+Q41-Q43</f>
        <v>0</v>
      </c>
      <c r="R45" s="73"/>
      <c r="S45" s="73">
        <f>+S41-S43</f>
        <v>0</v>
      </c>
      <c r="T45" s="73"/>
      <c r="U45" s="73"/>
      <c r="V45" s="73"/>
      <c r="W45" s="158"/>
      <c r="X45" s="158"/>
      <c r="Y45" s="158"/>
      <c r="Z45" s="158"/>
      <c r="AA45" s="158"/>
      <c r="AB45" s="158"/>
      <c r="AC45" s="158"/>
      <c r="AD45" s="158"/>
      <c r="AE45" s="158"/>
    </row>
    <row r="46" spans="1:31" ht="15.6">
      <c r="C46" s="158"/>
      <c r="D46" s="158"/>
      <c r="E46" s="158"/>
      <c r="F46" s="158"/>
      <c r="G46" s="158"/>
      <c r="H46" s="158"/>
      <c r="I46" s="158"/>
      <c r="J46" s="158"/>
      <c r="M46" s="73"/>
      <c r="N46" s="161" t="s">
        <v>554</v>
      </c>
      <c r="O46" s="162" t="s">
        <v>552</v>
      </c>
      <c r="P46" s="163"/>
      <c r="Q46" s="164" t="s">
        <v>555</v>
      </c>
      <c r="R46" s="113"/>
      <c r="S46" s="165" t="s">
        <v>556</v>
      </c>
      <c r="T46" s="143"/>
      <c r="U46" s="143"/>
      <c r="V46" s="65"/>
      <c r="W46" s="158"/>
      <c r="X46" s="184" t="s">
        <v>557</v>
      </c>
      <c r="Y46" s="185"/>
      <c r="Z46" s="158"/>
      <c r="AA46" s="158"/>
      <c r="AB46" s="158"/>
      <c r="AC46" s="158"/>
      <c r="AD46" s="158"/>
      <c r="AE46" s="158"/>
    </row>
    <row r="47" spans="1:31" ht="15.6">
      <c r="C47" s="158"/>
      <c r="D47" s="158"/>
      <c r="E47" s="158"/>
      <c r="F47" s="158"/>
      <c r="G47" s="158"/>
      <c r="H47" s="158"/>
      <c r="I47" s="158"/>
      <c r="J47" s="158"/>
      <c r="N47" s="166"/>
      <c r="O47" s="177"/>
      <c r="P47" s="168"/>
      <c r="Q47" s="167">
        <f>+Q41*100/0.5</f>
        <v>0</v>
      </c>
      <c r="R47" s="112"/>
      <c r="S47" s="169">
        <f>+O47-Q47</f>
        <v>0</v>
      </c>
      <c r="T47" s="74"/>
      <c r="U47" s="74"/>
      <c r="V47" s="108"/>
      <c r="W47" s="158"/>
      <c r="X47" s="184" t="s">
        <v>547</v>
      </c>
      <c r="Y47" s="185" t="s">
        <v>509</v>
      </c>
      <c r="Z47" s="158"/>
      <c r="AA47" s="158"/>
      <c r="AB47" s="158"/>
      <c r="AC47" s="158"/>
      <c r="AD47" s="158"/>
      <c r="AE47" s="158"/>
    </row>
    <row r="48" spans="1:31" ht="15.6">
      <c r="C48" s="158"/>
      <c r="D48" s="158"/>
      <c r="E48" s="158"/>
      <c r="F48" s="158"/>
      <c r="G48" s="158"/>
      <c r="H48" s="158"/>
      <c r="I48" s="158"/>
      <c r="J48" s="158"/>
      <c r="O48" s="108"/>
      <c r="Q48" s="73">
        <v>0</v>
      </c>
      <c r="S48" s="108"/>
      <c r="T48" s="74"/>
      <c r="U48" s="74"/>
      <c r="W48" s="158"/>
      <c r="X48" s="186" t="s">
        <v>558</v>
      </c>
      <c r="Y48" s="187" t="e">
        <v>#DIV/0!</v>
      </c>
      <c r="Z48" s="171"/>
      <c r="AA48" s="158"/>
      <c r="AB48" s="158"/>
      <c r="AC48" s="158"/>
      <c r="AD48" s="158"/>
      <c r="AE48" s="158"/>
    </row>
    <row r="49" spans="3:31" ht="15.6">
      <c r="C49" s="158"/>
      <c r="D49" s="158"/>
      <c r="E49" s="158"/>
      <c r="F49" s="158"/>
      <c r="G49" s="158"/>
      <c r="H49" s="158"/>
      <c r="I49" s="158"/>
      <c r="J49" s="158"/>
      <c r="Q49" s="73"/>
      <c r="T49" s="74"/>
      <c r="U49" s="74"/>
      <c r="W49" s="158"/>
      <c r="X49" s="188" t="s">
        <v>559</v>
      </c>
      <c r="Y49" s="189" t="e">
        <v>#DIV/0!</v>
      </c>
      <c r="Z49" s="171"/>
      <c r="AA49" s="158"/>
      <c r="AB49" s="158"/>
      <c r="AC49" s="158"/>
      <c r="AD49" s="158"/>
      <c r="AE49" s="158"/>
    </row>
    <row r="50" spans="3:31" ht="15.6">
      <c r="C50" s="158"/>
      <c r="D50" s="158"/>
      <c r="E50" s="158"/>
      <c r="F50" s="158"/>
      <c r="G50" s="158"/>
      <c r="H50" s="158"/>
      <c r="I50" s="158"/>
      <c r="J50" s="158"/>
      <c r="Q50" s="73"/>
      <c r="W50" s="158"/>
      <c r="X50"/>
      <c r="Y50"/>
      <c r="Z50"/>
      <c r="AA50" s="158"/>
      <c r="AB50" s="158"/>
      <c r="AC50" s="158"/>
      <c r="AD50" s="158"/>
      <c r="AE50" s="158"/>
    </row>
    <row r="51" spans="3:31" ht="15.6">
      <c r="C51" s="158"/>
      <c r="D51" s="158"/>
      <c r="E51" s="158"/>
      <c r="F51" s="158"/>
      <c r="G51" s="158"/>
      <c r="H51" s="158"/>
      <c r="I51" s="158"/>
      <c r="J51" s="158"/>
      <c r="Q51" s="73"/>
      <c r="W51" s="158"/>
      <c r="X51" s="170"/>
      <c r="Y51" s="171"/>
      <c r="Z51" s="171"/>
      <c r="AA51" s="158"/>
      <c r="AB51" s="158"/>
      <c r="AC51" s="158"/>
      <c r="AD51" s="158"/>
      <c r="AE51" s="158"/>
    </row>
    <row r="52" spans="3:31" ht="15.6">
      <c r="C52" s="158"/>
      <c r="D52" s="158"/>
      <c r="E52" s="158"/>
      <c r="F52" s="158"/>
      <c r="G52" s="158"/>
      <c r="H52" s="158"/>
      <c r="I52" s="158"/>
      <c r="J52" s="158"/>
      <c r="T52" s="74"/>
      <c r="U52" s="74"/>
      <c r="W52" s="158"/>
      <c r="X52" s="170"/>
      <c r="Y52" s="171"/>
      <c r="Z52" s="171"/>
      <c r="AA52" s="158"/>
      <c r="AB52" s="158"/>
      <c r="AC52" s="158"/>
      <c r="AD52" s="158"/>
      <c r="AE52" s="158"/>
    </row>
    <row r="53" spans="3:31" ht="16.149999999999999">
      <c r="C53" s="158"/>
      <c r="D53" s="158"/>
      <c r="E53" s="158"/>
      <c r="F53" s="158"/>
      <c r="G53" s="158"/>
      <c r="H53" s="158"/>
      <c r="I53" s="158"/>
      <c r="J53" s="158"/>
      <c r="T53" s="74"/>
      <c r="U53" s="74"/>
      <c r="X53" s="172" t="s">
        <v>560</v>
      </c>
      <c r="Y53" s="173" t="e">
        <f>+GETPIVOTDATA("ISD",$X$46)</f>
        <v>#DIV/0!</v>
      </c>
      <c r="Z53" s="173"/>
      <c r="AA53" s="158"/>
      <c r="AB53" s="158"/>
      <c r="AC53" s="158"/>
      <c r="AD53" s="158"/>
      <c r="AE53" s="158"/>
    </row>
  </sheetData>
  <autoFilter ref="A33:AB37" xr:uid="{00000000-0009-0000-0000-000006000000}"/>
  <mergeCells count="17">
    <mergeCell ref="AB34:AB37"/>
    <mergeCell ref="D2:G2"/>
    <mergeCell ref="D3:G3"/>
    <mergeCell ref="C5:D5"/>
    <mergeCell ref="C7:D7"/>
    <mergeCell ref="H7:I7"/>
    <mergeCell ref="M7:N7"/>
    <mergeCell ref="C11:D11"/>
    <mergeCell ref="E11:F11"/>
    <mergeCell ref="G11:H11"/>
    <mergeCell ref="R28:R32"/>
    <mergeCell ref="B13:N13"/>
    <mergeCell ref="M9:N9"/>
    <mergeCell ref="C10:D10"/>
    <mergeCell ref="C9:D9"/>
    <mergeCell ref="H9:I9"/>
    <mergeCell ref="M1:N3"/>
  </mergeCells>
  <conditionalFormatting sqref="B36:B38">
    <cfRule type="duplicateValues" dxfId="1" priority="1" stopIfTrue="1"/>
  </conditionalFormatting>
  <conditionalFormatting sqref="C36:C38">
    <cfRule type="duplicateValues" dxfId="0" priority="56" stopIfTrue="1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0" fitToHeight="8" orientation="landscape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290EE3C5-D788-44C8-B5EF-3C45D8E254C6}"/>
</file>

<file path=customXml/itemProps2.xml><?xml version="1.0" encoding="utf-8"?>
<ds:datastoreItem xmlns:ds="http://schemas.openxmlformats.org/officeDocument/2006/customXml" ds:itemID="{DFDA5E07-B93A-4D67-AEAA-DA6A5C08054F}"/>
</file>

<file path=customXml/itemProps3.xml><?xml version="1.0" encoding="utf-8"?>
<ds:datastoreItem xmlns:ds="http://schemas.openxmlformats.org/officeDocument/2006/customXml" ds:itemID="{B8A40671-D6D4-46C2-97C8-3E1AC6C1AB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 TI</dc:creator>
  <cp:keywords/>
  <dc:description/>
  <cp:lastModifiedBy>Robinson  Ponce</cp:lastModifiedBy>
  <cp:revision/>
  <dcterms:created xsi:type="dcterms:W3CDTF">2017-08-24T18:07:50Z</dcterms:created>
  <dcterms:modified xsi:type="dcterms:W3CDTF">2023-12-01T14:20:13Z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72400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