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slicers/slicer2.xml" ContentType="application/vnd.ms-excel.slicer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Ex2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LBR. M Carcelen\Downloads\"/>
    </mc:Choice>
  </mc:AlternateContent>
  <xr:revisionPtr revIDLastSave="0" documentId="8_{27DF13B1-F8AD-43E8-8A8E-3E22ABE62AE2}" xr6:coauthVersionLast="47" xr6:coauthVersionMax="47" xr10:uidLastSave="{00000000-0000-0000-0000-000000000000}"/>
  <bookViews>
    <workbookView xWindow="-108" yWindow="-108" windowWidth="23256" windowHeight="12456" activeTab="1" xr2:uid="{0347761C-6DC9-4D61-9AB9-5D60F732EB9B}"/>
  </bookViews>
  <sheets>
    <sheet name="DASHBOARD" sheetId="5" r:id="rId1"/>
    <sheet name="AT. MEDICAS 2024" sheetId="1" r:id="rId2"/>
    <sheet name="CONCENTRADO MORBILIDAD" sheetId="6" r:id="rId3"/>
    <sheet name="KARDEX MED E INS. MED" sheetId="15" r:id="rId4"/>
    <sheet name="BASE" sheetId="13" r:id="rId5"/>
    <sheet name="TAB DINAMICA" sheetId="16" state="hidden" r:id="rId6"/>
    <sheet name="GRAFICOS" sheetId="9" state="hidden" r:id="rId7"/>
  </sheets>
  <externalReferences>
    <externalReference r:id="rId8"/>
    <externalReference r:id="rId9"/>
  </externalReferences>
  <definedNames>
    <definedName name="_xlnm._FilterDatabase" localSheetId="1" hidden="1">'AT. MEDICAS 2024'!$A$8:$N$877</definedName>
    <definedName name="_xlchart.v5.0" hidden="1">'TAB DINAMICA'!$AP$2</definedName>
    <definedName name="_xlchart.v5.1" hidden="1">'TAB DINAMICA'!$AP$3:$AP$7</definedName>
    <definedName name="_xlchart.v5.2" hidden="1">'TAB DINAMICA'!$AQ$2</definedName>
    <definedName name="_xlchart.v5.3" hidden="1">'TAB DINAMICA'!$AQ$3:$AQ$7</definedName>
    <definedName name="_xlnm.Print_Area" localSheetId="2">'CONCENTRADO MORBILIDAD'!$A$1:$AV$316</definedName>
    <definedName name="_xlnm.Print_Area" localSheetId="0">DASHBOARD!$A$1:$S$45</definedName>
    <definedName name="_xlnm.Print_Area" localSheetId="3">'KARDEX MED E INS. MED'!$A$1:$BE$567</definedName>
    <definedName name="EPP">#REF!</definedName>
    <definedName name="Guía_remisión_Lowell">#REF!</definedName>
    <definedName name="Inicio_del_proyecto" localSheetId="4">#REF!</definedName>
    <definedName name="Inicio_del_proyecto">#REF!</definedName>
    <definedName name="Listado_personal_KDE" localSheetId="4">#REF!</definedName>
    <definedName name="Listado_personal_KDE">'[1]Lista de personal'!$A$4:$C$598</definedName>
    <definedName name="Personal_Bram">#REF!</definedName>
    <definedName name="Priority">'[2]Action Items'!$L$5:$L$7</definedName>
    <definedName name="SegmentaciónDeDatos_MES">#N/A</definedName>
    <definedName name="SegmentaciónDeDatos_MES1">#N/A</definedName>
    <definedName name="SegmentaciónDeDatos_PROYECTO">#N/A</definedName>
    <definedName name="SegmentaciónDeDatos_PROYECTO1">#N/A</definedName>
    <definedName name="Semana_para_mostrar" localSheetId="4">#REF!</definedName>
    <definedName name="Semana_para_mostrar">#REF!</definedName>
  </definedNames>
  <calcPr calcId="191028"/>
  <pivotCaches>
    <pivotCache cacheId="15" r:id="rId10"/>
  </pivotCaches>
  <fileRecoveryPr repairLoad="1"/>
  <extLst>
    <ext xmlns:x14="http://schemas.microsoft.com/office/spreadsheetml/2009/9/main" uri="{876F7934-8845-4945-9796-88D515C7AA90}">
      <x14:pivotCaches>
        <pivotCache cacheId="5" r:id="rId11"/>
      </x14:pivotCaches>
    </ext>
    <ext xmlns:x14="http://schemas.microsoft.com/office/spreadsheetml/2009/9/main" uri="{BBE1A952-AA13-448e-AADC-164F8A28A991}">
      <x14:slicerCaches>
        <x14:slicerCache r:id="rId12"/>
        <x14:slicerCache r:id="rId13"/>
        <x14:slicerCache r:id="rId14"/>
        <x14:slicerCache r:id="rId1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" i="16" l="1"/>
  <c r="AQ4" i="16" s="1"/>
  <c r="AN5" i="16"/>
  <c r="AN6" i="16"/>
  <c r="AN7" i="16"/>
  <c r="AN8" i="16"/>
  <c r="AN9" i="16"/>
  <c r="AN10" i="16"/>
  <c r="AN11" i="16"/>
  <c r="AN12" i="16"/>
  <c r="AN13" i="16"/>
  <c r="AN3" i="16"/>
  <c r="AQ3" i="16" s="1"/>
  <c r="AL4" i="16"/>
  <c r="AL5" i="16"/>
  <c r="AL6" i="16"/>
  <c r="AL7" i="16"/>
  <c r="AL8" i="16"/>
  <c r="AL9" i="16"/>
  <c r="AL10" i="16"/>
  <c r="AL11" i="16"/>
  <c r="AL12" i="16"/>
  <c r="AL13" i="16"/>
  <c r="AL3" i="16"/>
  <c r="AT6" i="16"/>
  <c r="AT7" i="16"/>
  <c r="AT8" i="16"/>
  <c r="AT9" i="16"/>
  <c r="AT10" i="16"/>
  <c r="AT11" i="16"/>
  <c r="AT12" i="16"/>
  <c r="AT13" i="16"/>
  <c r="AT14" i="16"/>
  <c r="AT15" i="16"/>
  <c r="AT16" i="16"/>
  <c r="AT17" i="16"/>
  <c r="AT18" i="16"/>
  <c r="AT19" i="16"/>
  <c r="AT20" i="16"/>
  <c r="AT21" i="16"/>
  <c r="AT22" i="16"/>
  <c r="AT23" i="16"/>
  <c r="AT24" i="16"/>
  <c r="AT25" i="16"/>
  <c r="AT26" i="16"/>
  <c r="AT27" i="16"/>
  <c r="AT28" i="16"/>
  <c r="AT29" i="16"/>
  <c r="AT30" i="16"/>
  <c r="AT31" i="16"/>
  <c r="AT32" i="16"/>
  <c r="AT33" i="16"/>
  <c r="AT34" i="16"/>
  <c r="AT35" i="16"/>
  <c r="AT36" i="16"/>
  <c r="AT37" i="16"/>
  <c r="AT38" i="16"/>
  <c r="AT39" i="16"/>
  <c r="AT40" i="16"/>
  <c r="AT41" i="16"/>
  <c r="AT42" i="16"/>
  <c r="AT43" i="16"/>
  <c r="AT44" i="16"/>
  <c r="AD4" i="16"/>
  <c r="AD5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3" i="16"/>
  <c r="W4" i="16"/>
  <c r="W3" i="16"/>
  <c r="O4" i="16"/>
  <c r="O5" i="16"/>
  <c r="O6" i="16"/>
  <c r="O3" i="16"/>
  <c r="G4" i="16"/>
  <c r="G3" i="16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D28" i="15"/>
  <c r="BD29" i="15"/>
  <c r="BD30" i="15"/>
  <c r="BD31" i="15"/>
  <c r="BD32" i="15"/>
  <c r="BD33" i="15"/>
  <c r="BD34" i="15"/>
  <c r="BD35" i="15"/>
  <c r="BD36" i="15"/>
  <c r="BD37" i="15"/>
  <c r="BD38" i="15"/>
  <c r="BD39" i="15"/>
  <c r="BD40" i="15"/>
  <c r="BD41" i="15"/>
  <c r="BD42" i="15"/>
  <c r="BD43" i="15"/>
  <c r="BD44" i="15"/>
  <c r="BD45" i="15"/>
  <c r="BD46" i="15"/>
  <c r="BD47" i="15"/>
  <c r="BD48" i="15"/>
  <c r="BD49" i="15"/>
  <c r="BD50" i="15"/>
  <c r="BB12" i="15"/>
  <c r="BB13" i="15"/>
  <c r="BB14" i="15"/>
  <c r="BB15" i="15"/>
  <c r="BB16" i="15"/>
  <c r="BB17" i="15"/>
  <c r="BB18" i="15"/>
  <c r="BB19" i="15"/>
  <c r="BB20" i="15"/>
  <c r="BB21" i="15"/>
  <c r="BB22" i="15"/>
  <c r="BB23" i="15"/>
  <c r="BB24" i="15"/>
  <c r="BB25" i="15"/>
  <c r="BB26" i="15"/>
  <c r="BB27" i="15"/>
  <c r="BB28" i="15"/>
  <c r="BB29" i="15"/>
  <c r="BB30" i="15"/>
  <c r="BB31" i="15"/>
  <c r="BB32" i="15"/>
  <c r="BB33" i="15"/>
  <c r="BB34" i="15"/>
  <c r="BB35" i="15"/>
  <c r="BB36" i="15"/>
  <c r="BB37" i="15"/>
  <c r="BB38" i="15"/>
  <c r="BB39" i="15"/>
  <c r="BB40" i="15"/>
  <c r="BB41" i="15"/>
  <c r="BB42" i="15"/>
  <c r="BB43" i="15"/>
  <c r="BB44" i="15"/>
  <c r="BB45" i="15"/>
  <c r="BB46" i="15"/>
  <c r="BB47" i="15"/>
  <c r="BB48" i="15"/>
  <c r="BB49" i="15"/>
  <c r="BB50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35" i="15"/>
  <c r="AZ36" i="15"/>
  <c r="AZ37" i="15"/>
  <c r="AZ38" i="15"/>
  <c r="AZ39" i="15"/>
  <c r="AZ40" i="15"/>
  <c r="AZ41" i="15"/>
  <c r="AZ42" i="15"/>
  <c r="AZ43" i="15"/>
  <c r="AZ44" i="15"/>
  <c r="AZ45" i="15"/>
  <c r="AZ46" i="15"/>
  <c r="AZ47" i="15"/>
  <c r="AZ48" i="15"/>
  <c r="AZ49" i="15"/>
  <c r="AZ50" i="15"/>
  <c r="AX11" i="15"/>
  <c r="AX51" i="15" s="1"/>
  <c r="AX12" i="15"/>
  <c r="AX13" i="15"/>
  <c r="AX14" i="15"/>
  <c r="AX15" i="15"/>
  <c r="AX16" i="15"/>
  <c r="AX17" i="15"/>
  <c r="AX18" i="15"/>
  <c r="AX19" i="15"/>
  <c r="AX20" i="15"/>
  <c r="AX21" i="15"/>
  <c r="AX22" i="15"/>
  <c r="AX23" i="15"/>
  <c r="AX24" i="15"/>
  <c r="AX25" i="15"/>
  <c r="AX26" i="15"/>
  <c r="AX27" i="15"/>
  <c r="AX28" i="15"/>
  <c r="AX29" i="15"/>
  <c r="AX30" i="15"/>
  <c r="AX31" i="15"/>
  <c r="AX32" i="15"/>
  <c r="AX33" i="15"/>
  <c r="AX34" i="15"/>
  <c r="AX35" i="15"/>
  <c r="AX36" i="15"/>
  <c r="AX37" i="15"/>
  <c r="AX38" i="15"/>
  <c r="AX39" i="15"/>
  <c r="AX40" i="15"/>
  <c r="AX41" i="15"/>
  <c r="AX42" i="15"/>
  <c r="AX43" i="15"/>
  <c r="AX44" i="15"/>
  <c r="AX45" i="15"/>
  <c r="AX46" i="15"/>
  <c r="AX47" i="15"/>
  <c r="AX48" i="15"/>
  <c r="AX49" i="15"/>
  <c r="AX50" i="15"/>
  <c r="BA12" i="15"/>
  <c r="BA13" i="15"/>
  <c r="BA14" i="15"/>
  <c r="BA15" i="15"/>
  <c r="BA16" i="15"/>
  <c r="BA17" i="15"/>
  <c r="BA18" i="15"/>
  <c r="BA19" i="15"/>
  <c r="BA20" i="15"/>
  <c r="BA21" i="15"/>
  <c r="BA22" i="15"/>
  <c r="BA23" i="15"/>
  <c r="BA24" i="15"/>
  <c r="BA25" i="15"/>
  <c r="BA26" i="15"/>
  <c r="BA27" i="15"/>
  <c r="BA28" i="15"/>
  <c r="BA29" i="15"/>
  <c r="BA30" i="15"/>
  <c r="BA31" i="15"/>
  <c r="BA32" i="15"/>
  <c r="BA33" i="15"/>
  <c r="BA34" i="15"/>
  <c r="BA35" i="15"/>
  <c r="BA36" i="15"/>
  <c r="BA37" i="15"/>
  <c r="BA38" i="15"/>
  <c r="BA39" i="15"/>
  <c r="BA40" i="15"/>
  <c r="BA41" i="15"/>
  <c r="BA42" i="15"/>
  <c r="BA43" i="15"/>
  <c r="BA44" i="15"/>
  <c r="BA45" i="15"/>
  <c r="BA46" i="15"/>
  <c r="BA47" i="15"/>
  <c r="BA48" i="15"/>
  <c r="BA49" i="15"/>
  <c r="BA50" i="15"/>
  <c r="BA11" i="15"/>
  <c r="AY12" i="15"/>
  <c r="AY13" i="15"/>
  <c r="AY14" i="15"/>
  <c r="AY15" i="15"/>
  <c r="AY16" i="15"/>
  <c r="AY17" i="15"/>
  <c r="AY18" i="15"/>
  <c r="AY19" i="15"/>
  <c r="AY20" i="15"/>
  <c r="AY21" i="15"/>
  <c r="AY22" i="15"/>
  <c r="AY23" i="15"/>
  <c r="AY24" i="15"/>
  <c r="AY25" i="15"/>
  <c r="AY26" i="15"/>
  <c r="AY27" i="15"/>
  <c r="AY28" i="15"/>
  <c r="AY29" i="15"/>
  <c r="AY30" i="15"/>
  <c r="AY31" i="15"/>
  <c r="AY32" i="15"/>
  <c r="AY33" i="15"/>
  <c r="AY34" i="15"/>
  <c r="AY35" i="15"/>
  <c r="AY36" i="15"/>
  <c r="AY37" i="15"/>
  <c r="AY38" i="15"/>
  <c r="AY39" i="15"/>
  <c r="AY40" i="15"/>
  <c r="AY41" i="15"/>
  <c r="AY42" i="15"/>
  <c r="AY43" i="15"/>
  <c r="AY44" i="15"/>
  <c r="AY45" i="15"/>
  <c r="AY46" i="15"/>
  <c r="AY47" i="15"/>
  <c r="AY48" i="15"/>
  <c r="AY49" i="15"/>
  <c r="AY50" i="15"/>
  <c r="AY11" i="15"/>
  <c r="AW12" i="15"/>
  <c r="AW13" i="15"/>
  <c r="AW14" i="15"/>
  <c r="AW15" i="15"/>
  <c r="AW16" i="15"/>
  <c r="AW17" i="15"/>
  <c r="AW18" i="15"/>
  <c r="AW19" i="15"/>
  <c r="AW20" i="15"/>
  <c r="AW21" i="15"/>
  <c r="AW22" i="15"/>
  <c r="AW23" i="15"/>
  <c r="AW24" i="15"/>
  <c r="AW25" i="15"/>
  <c r="AW26" i="15"/>
  <c r="AW27" i="15"/>
  <c r="AW28" i="15"/>
  <c r="AW29" i="15"/>
  <c r="AW30" i="15"/>
  <c r="AW31" i="15"/>
  <c r="AW32" i="15"/>
  <c r="AW33" i="15"/>
  <c r="AW34" i="15"/>
  <c r="AW35" i="15"/>
  <c r="AW36" i="15"/>
  <c r="AW37" i="15"/>
  <c r="AW38" i="15"/>
  <c r="AW39" i="15"/>
  <c r="AW40" i="15"/>
  <c r="AW41" i="15"/>
  <c r="AW42" i="15"/>
  <c r="AW43" i="15"/>
  <c r="AW44" i="15"/>
  <c r="AW45" i="15"/>
  <c r="AW46" i="15"/>
  <c r="AW47" i="15"/>
  <c r="AW48" i="15"/>
  <c r="AW49" i="15"/>
  <c r="AW50" i="15"/>
  <c r="AW11" i="15"/>
  <c r="AU12" i="15"/>
  <c r="AU13" i="15"/>
  <c r="AU14" i="15"/>
  <c r="AU15" i="15"/>
  <c r="AU16" i="15"/>
  <c r="AU17" i="15"/>
  <c r="AU18" i="15"/>
  <c r="AU19" i="15"/>
  <c r="AU20" i="15"/>
  <c r="AU21" i="15"/>
  <c r="AU22" i="15"/>
  <c r="AU23" i="15"/>
  <c r="AU24" i="15"/>
  <c r="AU25" i="15"/>
  <c r="AU26" i="15"/>
  <c r="AU27" i="15"/>
  <c r="AU28" i="15"/>
  <c r="AU29" i="15"/>
  <c r="AU30" i="15"/>
  <c r="AU31" i="15"/>
  <c r="AU32" i="15"/>
  <c r="AU33" i="15"/>
  <c r="AU34" i="15"/>
  <c r="AU35" i="15"/>
  <c r="AU36" i="15"/>
  <c r="AU37" i="15"/>
  <c r="AU38" i="15"/>
  <c r="AU39" i="15"/>
  <c r="AU40" i="15"/>
  <c r="AU41" i="15"/>
  <c r="AU42" i="15"/>
  <c r="AU43" i="15"/>
  <c r="AU44" i="15"/>
  <c r="AU45" i="15"/>
  <c r="AU46" i="15"/>
  <c r="AU47" i="15"/>
  <c r="AU48" i="15"/>
  <c r="AU49" i="15"/>
  <c r="AU50" i="15"/>
  <c r="AL546" i="15"/>
  <c r="AK546" i="15"/>
  <c r="AJ546" i="15"/>
  <c r="AI546" i="15"/>
  <c r="AH546" i="15"/>
  <c r="AG546" i="15"/>
  <c r="AF546" i="15"/>
  <c r="AE546" i="15"/>
  <c r="AD546" i="15"/>
  <c r="AC546" i="15"/>
  <c r="AB546" i="15"/>
  <c r="AA546" i="15"/>
  <c r="Z546" i="15"/>
  <c r="Y546" i="15"/>
  <c r="X546" i="15"/>
  <c r="W546" i="15"/>
  <c r="V546" i="15"/>
  <c r="U546" i="15"/>
  <c r="T546" i="15"/>
  <c r="S546" i="15"/>
  <c r="R546" i="15"/>
  <c r="Q546" i="15"/>
  <c r="P546" i="15"/>
  <c r="O546" i="15"/>
  <c r="N546" i="15"/>
  <c r="M546" i="15"/>
  <c r="L546" i="15"/>
  <c r="K546" i="15"/>
  <c r="J546" i="15"/>
  <c r="I546" i="15"/>
  <c r="H546" i="15"/>
  <c r="AQ545" i="15"/>
  <c r="AP545" i="15"/>
  <c r="AM545" i="15"/>
  <c r="AN545" i="15" s="1"/>
  <c r="AQ544" i="15"/>
  <c r="AP544" i="15"/>
  <c r="AM544" i="15"/>
  <c r="AN544" i="15" s="1"/>
  <c r="AQ543" i="15"/>
  <c r="AP543" i="15"/>
  <c r="AM543" i="15"/>
  <c r="AN543" i="15" s="1"/>
  <c r="AQ542" i="15"/>
  <c r="AP542" i="15"/>
  <c r="AM542" i="15"/>
  <c r="AN542" i="15" s="1"/>
  <c r="AQ541" i="15"/>
  <c r="AP541" i="15"/>
  <c r="AN541" i="15"/>
  <c r="AM541" i="15"/>
  <c r="AQ540" i="15"/>
  <c r="AP540" i="15"/>
  <c r="AM540" i="15"/>
  <c r="AN540" i="15" s="1"/>
  <c r="AQ539" i="15"/>
  <c r="AP539" i="15"/>
  <c r="AN539" i="15"/>
  <c r="AM539" i="15"/>
  <c r="AQ538" i="15"/>
  <c r="AP538" i="15"/>
  <c r="AM538" i="15"/>
  <c r="AN538" i="15" s="1"/>
  <c r="AQ537" i="15"/>
  <c r="AP537" i="15"/>
  <c r="AN537" i="15"/>
  <c r="AM537" i="15"/>
  <c r="AQ536" i="15"/>
  <c r="AP536" i="15"/>
  <c r="AM536" i="15"/>
  <c r="AN536" i="15" s="1"/>
  <c r="AQ535" i="15"/>
  <c r="AP535" i="15"/>
  <c r="AN535" i="15"/>
  <c r="AM535" i="15"/>
  <c r="AQ534" i="15"/>
  <c r="AP534" i="15"/>
  <c r="AM534" i="15"/>
  <c r="AN534" i="15" s="1"/>
  <c r="AQ533" i="15"/>
  <c r="AP533" i="15"/>
  <c r="AN533" i="15"/>
  <c r="AM533" i="15"/>
  <c r="AQ532" i="15"/>
  <c r="AP532" i="15"/>
  <c r="AM532" i="15"/>
  <c r="AN532" i="15" s="1"/>
  <c r="AQ531" i="15"/>
  <c r="AP531" i="15"/>
  <c r="AN531" i="15"/>
  <c r="AM531" i="15"/>
  <c r="AQ530" i="15"/>
  <c r="AP530" i="15"/>
  <c r="AM530" i="15"/>
  <c r="AN530" i="15" s="1"/>
  <c r="AQ529" i="15"/>
  <c r="AP529" i="15"/>
  <c r="AN529" i="15"/>
  <c r="AM529" i="15"/>
  <c r="AQ528" i="15"/>
  <c r="AP528" i="15"/>
  <c r="AM528" i="15"/>
  <c r="AN528" i="15" s="1"/>
  <c r="AQ527" i="15"/>
  <c r="AP527" i="15"/>
  <c r="AN527" i="15"/>
  <c r="AM527" i="15"/>
  <c r="AQ526" i="15"/>
  <c r="AP526" i="15"/>
  <c r="AM526" i="15"/>
  <c r="AN526" i="15" s="1"/>
  <c r="AQ525" i="15"/>
  <c r="AP525" i="15"/>
  <c r="AN525" i="15"/>
  <c r="AM525" i="15"/>
  <c r="AQ524" i="15"/>
  <c r="AP524" i="15"/>
  <c r="AM524" i="15"/>
  <c r="AN524" i="15" s="1"/>
  <c r="AQ523" i="15"/>
  <c r="AP523" i="15"/>
  <c r="AN523" i="15"/>
  <c r="AM523" i="15"/>
  <c r="AQ522" i="15"/>
  <c r="AP522" i="15"/>
  <c r="AM522" i="15"/>
  <c r="AN522" i="15" s="1"/>
  <c r="AQ521" i="15"/>
  <c r="AP521" i="15"/>
  <c r="AN521" i="15"/>
  <c r="AM521" i="15"/>
  <c r="AQ520" i="15"/>
  <c r="AP520" i="15"/>
  <c r="AM520" i="15"/>
  <c r="AN520" i="15" s="1"/>
  <c r="AQ519" i="15"/>
  <c r="AP519" i="15"/>
  <c r="AN519" i="15"/>
  <c r="AM519" i="15"/>
  <c r="AQ518" i="15"/>
  <c r="AP518" i="15"/>
  <c r="AM518" i="15"/>
  <c r="AN518" i="15" s="1"/>
  <c r="AQ517" i="15"/>
  <c r="AP517" i="15"/>
  <c r="AN517" i="15"/>
  <c r="AM517" i="15"/>
  <c r="AQ516" i="15"/>
  <c r="AP516" i="15"/>
  <c r="AM516" i="15"/>
  <c r="AN516" i="15" s="1"/>
  <c r="AQ515" i="15"/>
  <c r="AP515" i="15"/>
  <c r="AN515" i="15"/>
  <c r="AM515" i="15"/>
  <c r="AQ514" i="15"/>
  <c r="AP514" i="15"/>
  <c r="AM514" i="15"/>
  <c r="AN514" i="15" s="1"/>
  <c r="AQ513" i="15"/>
  <c r="AP513" i="15"/>
  <c r="AN513" i="15"/>
  <c r="AM513" i="15"/>
  <c r="AQ512" i="15"/>
  <c r="AP512" i="15"/>
  <c r="AM512" i="15"/>
  <c r="AN512" i="15" s="1"/>
  <c r="AQ511" i="15"/>
  <c r="AP511" i="15"/>
  <c r="AN511" i="15"/>
  <c r="AM511" i="15"/>
  <c r="AQ510" i="15"/>
  <c r="AP510" i="15"/>
  <c r="AM510" i="15"/>
  <c r="AN510" i="15" s="1"/>
  <c r="AM509" i="15"/>
  <c r="AN509" i="15" s="1"/>
  <c r="AN508" i="15"/>
  <c r="AM508" i="15"/>
  <c r="AN507" i="15"/>
  <c r="AM507" i="15"/>
  <c r="AM506" i="15"/>
  <c r="AM546" i="15" s="1"/>
  <c r="AL501" i="15"/>
  <c r="AK501" i="15"/>
  <c r="AJ501" i="15"/>
  <c r="AI501" i="15"/>
  <c r="AH501" i="15"/>
  <c r="AG501" i="15"/>
  <c r="AF501" i="15"/>
  <c r="AE501" i="15"/>
  <c r="AD501" i="15"/>
  <c r="AC501" i="15"/>
  <c r="AB501" i="15"/>
  <c r="AA501" i="15"/>
  <c r="Z501" i="15"/>
  <c r="Y501" i="15"/>
  <c r="X501" i="15"/>
  <c r="W501" i="15"/>
  <c r="V501" i="15"/>
  <c r="U501" i="15"/>
  <c r="T501" i="15"/>
  <c r="S501" i="15"/>
  <c r="R501" i="15"/>
  <c r="Q501" i="15"/>
  <c r="P501" i="15"/>
  <c r="O501" i="15"/>
  <c r="N501" i="15"/>
  <c r="M501" i="15"/>
  <c r="L501" i="15"/>
  <c r="K501" i="15"/>
  <c r="J501" i="15"/>
  <c r="I501" i="15"/>
  <c r="H501" i="15"/>
  <c r="AQ500" i="15"/>
  <c r="AP500" i="15"/>
  <c r="AM500" i="15"/>
  <c r="AN500" i="15" s="1"/>
  <c r="AQ499" i="15"/>
  <c r="AP499" i="15"/>
  <c r="AM499" i="15"/>
  <c r="AN499" i="15" s="1"/>
  <c r="AQ498" i="15"/>
  <c r="AP498" i="15"/>
  <c r="AM498" i="15"/>
  <c r="AN498" i="15" s="1"/>
  <c r="AQ497" i="15"/>
  <c r="AP497" i="15"/>
  <c r="AM497" i="15"/>
  <c r="AN497" i="15" s="1"/>
  <c r="AQ496" i="15"/>
  <c r="AP496" i="15"/>
  <c r="AM496" i="15"/>
  <c r="AN496" i="15" s="1"/>
  <c r="AQ495" i="15"/>
  <c r="AP495" i="15"/>
  <c r="AM495" i="15"/>
  <c r="AN495" i="15" s="1"/>
  <c r="AQ494" i="15"/>
  <c r="AP494" i="15"/>
  <c r="AM494" i="15"/>
  <c r="AN494" i="15" s="1"/>
  <c r="AQ493" i="15"/>
  <c r="AP493" i="15"/>
  <c r="AM493" i="15"/>
  <c r="AN493" i="15" s="1"/>
  <c r="AQ492" i="15"/>
  <c r="AP492" i="15"/>
  <c r="AM492" i="15"/>
  <c r="AN492" i="15" s="1"/>
  <c r="AQ491" i="15"/>
  <c r="AP491" i="15"/>
  <c r="AM491" i="15"/>
  <c r="AN491" i="15" s="1"/>
  <c r="AQ490" i="15"/>
  <c r="AP490" i="15"/>
  <c r="AN490" i="15"/>
  <c r="AM490" i="15"/>
  <c r="AQ489" i="15"/>
  <c r="AP489" i="15"/>
  <c r="AM489" i="15"/>
  <c r="AN489" i="15" s="1"/>
  <c r="AQ488" i="15"/>
  <c r="AP488" i="15"/>
  <c r="AM488" i="15"/>
  <c r="AN488" i="15" s="1"/>
  <c r="AQ487" i="15"/>
  <c r="AP487" i="15"/>
  <c r="AM487" i="15"/>
  <c r="AN487" i="15" s="1"/>
  <c r="AQ486" i="15"/>
  <c r="AP486" i="15"/>
  <c r="AN486" i="15"/>
  <c r="AM486" i="15"/>
  <c r="AQ485" i="15"/>
  <c r="AP485" i="15"/>
  <c r="AM485" i="15"/>
  <c r="AN485" i="15" s="1"/>
  <c r="AQ484" i="15"/>
  <c r="AP484" i="15"/>
  <c r="AM484" i="15"/>
  <c r="AN484" i="15" s="1"/>
  <c r="AQ483" i="15"/>
  <c r="AP483" i="15"/>
  <c r="AM483" i="15"/>
  <c r="AN483" i="15" s="1"/>
  <c r="AQ482" i="15"/>
  <c r="AP482" i="15"/>
  <c r="AM482" i="15"/>
  <c r="AN482" i="15" s="1"/>
  <c r="AQ481" i="15"/>
  <c r="AP481" i="15"/>
  <c r="AM481" i="15"/>
  <c r="AN481" i="15" s="1"/>
  <c r="AQ480" i="15"/>
  <c r="AP480" i="15"/>
  <c r="AM480" i="15"/>
  <c r="AN480" i="15" s="1"/>
  <c r="AQ479" i="15"/>
  <c r="AP479" i="15"/>
  <c r="AM479" i="15"/>
  <c r="AN479" i="15" s="1"/>
  <c r="AQ478" i="15"/>
  <c r="AP478" i="15"/>
  <c r="AM478" i="15"/>
  <c r="AN478" i="15" s="1"/>
  <c r="AQ477" i="15"/>
  <c r="AP477" i="15"/>
  <c r="AM477" i="15"/>
  <c r="AN477" i="15" s="1"/>
  <c r="AQ476" i="15"/>
  <c r="AP476" i="15"/>
  <c r="AM476" i="15"/>
  <c r="AN476" i="15" s="1"/>
  <c r="AQ475" i="15"/>
  <c r="AP475" i="15"/>
  <c r="AM475" i="15"/>
  <c r="AN475" i="15" s="1"/>
  <c r="AQ474" i="15"/>
  <c r="AP474" i="15"/>
  <c r="AN474" i="15"/>
  <c r="AM474" i="15"/>
  <c r="AQ473" i="15"/>
  <c r="AP473" i="15"/>
  <c r="AM473" i="15"/>
  <c r="AN473" i="15" s="1"/>
  <c r="AQ472" i="15"/>
  <c r="AP472" i="15"/>
  <c r="AM472" i="15"/>
  <c r="AN472" i="15" s="1"/>
  <c r="AQ471" i="15"/>
  <c r="AP471" i="15"/>
  <c r="AM471" i="15"/>
  <c r="AN471" i="15" s="1"/>
  <c r="AQ470" i="15"/>
  <c r="AP470" i="15"/>
  <c r="AN470" i="15"/>
  <c r="AM470" i="15"/>
  <c r="AQ469" i="15"/>
  <c r="AP469" i="15"/>
  <c r="AM469" i="15"/>
  <c r="AN469" i="15" s="1"/>
  <c r="AQ468" i="15"/>
  <c r="AP468" i="15"/>
  <c r="AM468" i="15"/>
  <c r="AN468" i="15" s="1"/>
  <c r="AQ467" i="15"/>
  <c r="AP467" i="15"/>
  <c r="AM467" i="15"/>
  <c r="AN467" i="15" s="1"/>
  <c r="AQ466" i="15"/>
  <c r="AP466" i="15"/>
  <c r="AM466" i="15"/>
  <c r="AN466" i="15" s="1"/>
  <c r="AQ465" i="15"/>
  <c r="AP465" i="15"/>
  <c r="AM465" i="15"/>
  <c r="AN465" i="15" s="1"/>
  <c r="AM464" i="15"/>
  <c r="AN464" i="15" s="1"/>
  <c r="AM463" i="15"/>
  <c r="AN463" i="15" s="1"/>
  <c r="AM462" i="15"/>
  <c r="AN462" i="15" s="1"/>
  <c r="AM461" i="15"/>
  <c r="AN461" i="15" s="1"/>
  <c r="AL456" i="15"/>
  <c r="AK456" i="15"/>
  <c r="AJ456" i="15"/>
  <c r="AI456" i="15"/>
  <c r="AH456" i="15"/>
  <c r="AG456" i="15"/>
  <c r="AF456" i="15"/>
  <c r="AE456" i="15"/>
  <c r="AD456" i="15"/>
  <c r="AC456" i="15"/>
  <c r="AB456" i="15"/>
  <c r="AA456" i="15"/>
  <c r="Z456" i="15"/>
  <c r="Y456" i="15"/>
  <c r="X456" i="15"/>
  <c r="W456" i="15"/>
  <c r="V456" i="15"/>
  <c r="U456" i="15"/>
  <c r="T456" i="15"/>
  <c r="S456" i="15"/>
  <c r="R456" i="15"/>
  <c r="Q456" i="15"/>
  <c r="P456" i="15"/>
  <c r="O456" i="15"/>
  <c r="N456" i="15"/>
  <c r="M456" i="15"/>
  <c r="L456" i="15"/>
  <c r="K456" i="15"/>
  <c r="J456" i="15"/>
  <c r="I456" i="15"/>
  <c r="H456" i="15"/>
  <c r="AQ455" i="15"/>
  <c r="AP455" i="15"/>
  <c r="AM455" i="15"/>
  <c r="AN455" i="15" s="1"/>
  <c r="AQ454" i="15"/>
  <c r="AP454" i="15"/>
  <c r="AM454" i="15"/>
  <c r="AN454" i="15" s="1"/>
  <c r="AQ453" i="15"/>
  <c r="AP453" i="15"/>
  <c r="AM453" i="15"/>
  <c r="AN453" i="15" s="1"/>
  <c r="AQ452" i="15"/>
  <c r="AP452" i="15"/>
  <c r="AM452" i="15"/>
  <c r="AN452" i="15" s="1"/>
  <c r="AQ451" i="15"/>
  <c r="AP451" i="15"/>
  <c r="AM451" i="15"/>
  <c r="AN451" i="15" s="1"/>
  <c r="AQ450" i="15"/>
  <c r="AP450" i="15"/>
  <c r="AM450" i="15"/>
  <c r="AN450" i="15" s="1"/>
  <c r="AQ449" i="15"/>
  <c r="AP449" i="15"/>
  <c r="AM449" i="15"/>
  <c r="AN449" i="15" s="1"/>
  <c r="AQ448" i="15"/>
  <c r="AP448" i="15"/>
  <c r="AM448" i="15"/>
  <c r="AN448" i="15" s="1"/>
  <c r="AQ447" i="15"/>
  <c r="AP447" i="15"/>
  <c r="AM447" i="15"/>
  <c r="AN447" i="15" s="1"/>
  <c r="AQ446" i="15"/>
  <c r="AP446" i="15"/>
  <c r="AN446" i="15"/>
  <c r="AM446" i="15"/>
  <c r="AQ445" i="15"/>
  <c r="AP445" i="15"/>
  <c r="AM445" i="15"/>
  <c r="AN445" i="15" s="1"/>
  <c r="AQ444" i="15"/>
  <c r="AP444" i="15"/>
  <c r="AM444" i="15"/>
  <c r="AN444" i="15" s="1"/>
  <c r="AQ443" i="15"/>
  <c r="AP443" i="15"/>
  <c r="AM443" i="15"/>
  <c r="AN443" i="15" s="1"/>
  <c r="AQ442" i="15"/>
  <c r="AP442" i="15"/>
  <c r="AM442" i="15"/>
  <c r="AN442" i="15" s="1"/>
  <c r="AQ441" i="15"/>
  <c r="AP441" i="15"/>
  <c r="AM441" i="15"/>
  <c r="AN441" i="15" s="1"/>
  <c r="AQ440" i="15"/>
  <c r="AP440" i="15"/>
  <c r="AN440" i="15"/>
  <c r="AM440" i="15"/>
  <c r="AQ439" i="15"/>
  <c r="AP439" i="15"/>
  <c r="AM439" i="15"/>
  <c r="AN439" i="15" s="1"/>
  <c r="AQ438" i="15"/>
  <c r="AP438" i="15"/>
  <c r="AM438" i="15"/>
  <c r="AN438" i="15" s="1"/>
  <c r="AQ437" i="15"/>
  <c r="AP437" i="15"/>
  <c r="AM437" i="15"/>
  <c r="AN437" i="15" s="1"/>
  <c r="AQ436" i="15"/>
  <c r="AP436" i="15"/>
  <c r="AM436" i="15"/>
  <c r="AN436" i="15" s="1"/>
  <c r="AQ435" i="15"/>
  <c r="AP435" i="15"/>
  <c r="AM435" i="15"/>
  <c r="AN435" i="15" s="1"/>
  <c r="AQ434" i="15"/>
  <c r="AP434" i="15"/>
  <c r="AM434" i="15"/>
  <c r="AN434" i="15" s="1"/>
  <c r="AQ433" i="15"/>
  <c r="AP433" i="15"/>
  <c r="AM433" i="15"/>
  <c r="AN433" i="15" s="1"/>
  <c r="AQ432" i="15"/>
  <c r="AP432" i="15"/>
  <c r="AM432" i="15"/>
  <c r="AN432" i="15" s="1"/>
  <c r="AQ431" i="15"/>
  <c r="AP431" i="15"/>
  <c r="AM431" i="15"/>
  <c r="AN431" i="15" s="1"/>
  <c r="AQ430" i="15"/>
  <c r="AP430" i="15"/>
  <c r="AN430" i="15"/>
  <c r="AM430" i="15"/>
  <c r="AQ429" i="15"/>
  <c r="AP429" i="15"/>
  <c r="AM429" i="15"/>
  <c r="AN429" i="15" s="1"/>
  <c r="AQ428" i="15"/>
  <c r="AP428" i="15"/>
  <c r="AM428" i="15"/>
  <c r="AN428" i="15" s="1"/>
  <c r="AQ427" i="15"/>
  <c r="AP427" i="15"/>
  <c r="AM427" i="15"/>
  <c r="AN427" i="15" s="1"/>
  <c r="AQ426" i="15"/>
  <c r="AP426" i="15"/>
  <c r="AM426" i="15"/>
  <c r="AN426" i="15" s="1"/>
  <c r="AQ425" i="15"/>
  <c r="AP425" i="15"/>
  <c r="AM425" i="15"/>
  <c r="AN425" i="15" s="1"/>
  <c r="AQ424" i="15"/>
  <c r="AP424" i="15"/>
  <c r="AN424" i="15"/>
  <c r="AM424" i="15"/>
  <c r="AQ423" i="15"/>
  <c r="AP423" i="15"/>
  <c r="AM423" i="15"/>
  <c r="AN423" i="15" s="1"/>
  <c r="AQ422" i="15"/>
  <c r="AP422" i="15"/>
  <c r="AM422" i="15"/>
  <c r="AN422" i="15" s="1"/>
  <c r="AQ421" i="15"/>
  <c r="AP421" i="15"/>
  <c r="AM421" i="15"/>
  <c r="AN421" i="15" s="1"/>
  <c r="AQ420" i="15"/>
  <c r="AP420" i="15"/>
  <c r="AM420" i="15"/>
  <c r="AN420" i="15" s="1"/>
  <c r="AM419" i="15"/>
  <c r="AN419" i="15" s="1"/>
  <c r="AM418" i="15"/>
  <c r="AN418" i="15" s="1"/>
  <c r="AM417" i="15"/>
  <c r="AN417" i="15" s="1"/>
  <c r="AM416" i="15"/>
  <c r="AL411" i="15"/>
  <c r="AK411" i="15"/>
  <c r="AJ411" i="15"/>
  <c r="AI411" i="15"/>
  <c r="AH411" i="15"/>
  <c r="AG411" i="15"/>
  <c r="AF411" i="15"/>
  <c r="AE411" i="15"/>
  <c r="AD411" i="15"/>
  <c r="AC411" i="15"/>
  <c r="AB411" i="15"/>
  <c r="AA411" i="15"/>
  <c r="Z411" i="15"/>
  <c r="Y411" i="15"/>
  <c r="X411" i="15"/>
  <c r="W411" i="15"/>
  <c r="V411" i="15"/>
  <c r="U411" i="15"/>
  <c r="T411" i="15"/>
  <c r="S411" i="15"/>
  <c r="R411" i="15"/>
  <c r="Q411" i="15"/>
  <c r="P411" i="15"/>
  <c r="O411" i="15"/>
  <c r="N411" i="15"/>
  <c r="M411" i="15"/>
  <c r="L411" i="15"/>
  <c r="K411" i="15"/>
  <c r="J411" i="15"/>
  <c r="I411" i="15"/>
  <c r="H411" i="15"/>
  <c r="AQ410" i="15"/>
  <c r="AP410" i="15"/>
  <c r="AM410" i="15"/>
  <c r="AN410" i="15" s="1"/>
  <c r="AQ409" i="15"/>
  <c r="AP409" i="15"/>
  <c r="AM409" i="15"/>
  <c r="AN409" i="15" s="1"/>
  <c r="AQ408" i="15"/>
  <c r="AP408" i="15"/>
  <c r="AM408" i="15"/>
  <c r="AN408" i="15" s="1"/>
  <c r="AQ407" i="15"/>
  <c r="AP407" i="15"/>
  <c r="AN407" i="15"/>
  <c r="AM407" i="15"/>
  <c r="AQ406" i="15"/>
  <c r="AP406" i="15"/>
  <c r="AM406" i="15"/>
  <c r="AN406" i="15" s="1"/>
  <c r="AQ405" i="15"/>
  <c r="AP405" i="15"/>
  <c r="AM405" i="15"/>
  <c r="AN405" i="15" s="1"/>
  <c r="AQ404" i="15"/>
  <c r="AP404" i="15"/>
  <c r="AM404" i="15"/>
  <c r="AN404" i="15" s="1"/>
  <c r="AQ403" i="15"/>
  <c r="AP403" i="15"/>
  <c r="AM403" i="15"/>
  <c r="AN403" i="15" s="1"/>
  <c r="AQ402" i="15"/>
  <c r="AP402" i="15"/>
  <c r="AM402" i="15"/>
  <c r="AN402" i="15" s="1"/>
  <c r="AQ401" i="15"/>
  <c r="AP401" i="15"/>
  <c r="AM401" i="15"/>
  <c r="AN401" i="15" s="1"/>
  <c r="AQ400" i="15"/>
  <c r="AP400" i="15"/>
  <c r="AM400" i="15"/>
  <c r="AN400" i="15" s="1"/>
  <c r="AQ399" i="15"/>
  <c r="AP399" i="15"/>
  <c r="AM399" i="15"/>
  <c r="AN399" i="15" s="1"/>
  <c r="AQ398" i="15"/>
  <c r="AP398" i="15"/>
  <c r="AM398" i="15"/>
  <c r="AN398" i="15" s="1"/>
  <c r="AQ397" i="15"/>
  <c r="AP397" i="15"/>
  <c r="AM397" i="15"/>
  <c r="AN397" i="15" s="1"/>
  <c r="AQ396" i="15"/>
  <c r="AP396" i="15"/>
  <c r="AM396" i="15"/>
  <c r="AN396" i="15" s="1"/>
  <c r="AQ395" i="15"/>
  <c r="AP395" i="15"/>
  <c r="AN395" i="15"/>
  <c r="AM395" i="15"/>
  <c r="AQ394" i="15"/>
  <c r="AP394" i="15"/>
  <c r="AM394" i="15"/>
  <c r="AN394" i="15" s="1"/>
  <c r="AQ393" i="15"/>
  <c r="AP393" i="15"/>
  <c r="AM393" i="15"/>
  <c r="AN393" i="15" s="1"/>
  <c r="AQ392" i="15"/>
  <c r="AP392" i="15"/>
  <c r="AM392" i="15"/>
  <c r="AN392" i="15" s="1"/>
  <c r="AQ391" i="15"/>
  <c r="AP391" i="15"/>
  <c r="AN391" i="15"/>
  <c r="AM391" i="15"/>
  <c r="AQ390" i="15"/>
  <c r="AP390" i="15"/>
  <c r="AM390" i="15"/>
  <c r="AN390" i="15" s="1"/>
  <c r="AQ389" i="15"/>
  <c r="AP389" i="15"/>
  <c r="AM389" i="15"/>
  <c r="AN389" i="15" s="1"/>
  <c r="AQ388" i="15"/>
  <c r="AP388" i="15"/>
  <c r="AM388" i="15"/>
  <c r="AN388" i="15" s="1"/>
  <c r="AQ387" i="15"/>
  <c r="AP387" i="15"/>
  <c r="AM387" i="15"/>
  <c r="AN387" i="15" s="1"/>
  <c r="AQ386" i="15"/>
  <c r="AP386" i="15"/>
  <c r="AM386" i="15"/>
  <c r="AN386" i="15" s="1"/>
  <c r="AQ385" i="15"/>
  <c r="AP385" i="15"/>
  <c r="AM385" i="15"/>
  <c r="AN385" i="15" s="1"/>
  <c r="AQ384" i="15"/>
  <c r="AP384" i="15"/>
  <c r="AM384" i="15"/>
  <c r="AN384" i="15" s="1"/>
  <c r="AQ383" i="15"/>
  <c r="AP383" i="15"/>
  <c r="AM383" i="15"/>
  <c r="AN383" i="15" s="1"/>
  <c r="AQ382" i="15"/>
  <c r="AP382" i="15"/>
  <c r="AM382" i="15"/>
  <c r="AN382" i="15" s="1"/>
  <c r="AQ381" i="15"/>
  <c r="AP381" i="15"/>
  <c r="AM381" i="15"/>
  <c r="AN381" i="15" s="1"/>
  <c r="AQ380" i="15"/>
  <c r="AP380" i="15"/>
  <c r="AM380" i="15"/>
  <c r="AN380" i="15" s="1"/>
  <c r="AQ379" i="15"/>
  <c r="AP379" i="15"/>
  <c r="AN379" i="15"/>
  <c r="AM379" i="15"/>
  <c r="AQ378" i="15"/>
  <c r="AP378" i="15"/>
  <c r="AM378" i="15"/>
  <c r="AN378" i="15" s="1"/>
  <c r="AQ377" i="15"/>
  <c r="AP377" i="15"/>
  <c r="AM377" i="15"/>
  <c r="AN377" i="15" s="1"/>
  <c r="AQ376" i="15"/>
  <c r="AP376" i="15"/>
  <c r="AM376" i="15"/>
  <c r="AN376" i="15" s="1"/>
  <c r="AQ375" i="15"/>
  <c r="AP375" i="15"/>
  <c r="AN375" i="15"/>
  <c r="AM375" i="15"/>
  <c r="AM374" i="15"/>
  <c r="AN374" i="15" s="1"/>
  <c r="AM373" i="15"/>
  <c r="AN373" i="15" s="1"/>
  <c r="AM372" i="15"/>
  <c r="AN372" i="15" s="1"/>
  <c r="AM371" i="15"/>
  <c r="AM411" i="15" s="1"/>
  <c r="AL366" i="15"/>
  <c r="AK366" i="15"/>
  <c r="AJ366" i="15"/>
  <c r="AI366" i="15"/>
  <c r="AH366" i="15"/>
  <c r="AG366" i="15"/>
  <c r="AF366" i="15"/>
  <c r="AE366" i="15"/>
  <c r="AD366" i="15"/>
  <c r="AC366" i="15"/>
  <c r="AB366" i="15"/>
  <c r="AA366" i="15"/>
  <c r="Z366" i="15"/>
  <c r="Y366" i="15"/>
  <c r="X366" i="15"/>
  <c r="W366" i="15"/>
  <c r="V366" i="15"/>
  <c r="U366" i="15"/>
  <c r="T366" i="15"/>
  <c r="S366" i="15"/>
  <c r="R366" i="15"/>
  <c r="Q366" i="15"/>
  <c r="P366" i="15"/>
  <c r="O366" i="15"/>
  <c r="N366" i="15"/>
  <c r="M366" i="15"/>
  <c r="L366" i="15"/>
  <c r="K366" i="15"/>
  <c r="J366" i="15"/>
  <c r="I366" i="15"/>
  <c r="H366" i="15"/>
  <c r="AQ365" i="15"/>
  <c r="AP365" i="15"/>
  <c r="AM365" i="15"/>
  <c r="AN365" i="15" s="1"/>
  <c r="AQ364" i="15"/>
  <c r="AP364" i="15"/>
  <c r="AM364" i="15"/>
  <c r="AN364" i="15" s="1"/>
  <c r="AQ363" i="15"/>
  <c r="AP363" i="15"/>
  <c r="AM363" i="15"/>
  <c r="AN363" i="15" s="1"/>
  <c r="AQ362" i="15"/>
  <c r="AP362" i="15"/>
  <c r="AM362" i="15"/>
  <c r="AN362" i="15" s="1"/>
  <c r="AQ361" i="15"/>
  <c r="AP361" i="15"/>
  <c r="AM361" i="15"/>
  <c r="AN361" i="15" s="1"/>
  <c r="AQ360" i="15"/>
  <c r="AP360" i="15"/>
  <c r="AM360" i="15"/>
  <c r="AN360" i="15" s="1"/>
  <c r="AQ359" i="15"/>
  <c r="AP359" i="15"/>
  <c r="AM359" i="15"/>
  <c r="AN359" i="15" s="1"/>
  <c r="AQ358" i="15"/>
  <c r="AP358" i="15"/>
  <c r="AM358" i="15"/>
  <c r="AN358" i="15" s="1"/>
  <c r="AQ357" i="15"/>
  <c r="AP357" i="15"/>
  <c r="AM357" i="15"/>
  <c r="AN357" i="15" s="1"/>
  <c r="AQ356" i="15"/>
  <c r="AP356" i="15"/>
  <c r="AM356" i="15"/>
  <c r="AN356" i="15" s="1"/>
  <c r="AQ355" i="15"/>
  <c r="AP355" i="15"/>
  <c r="AM355" i="15"/>
  <c r="AN355" i="15" s="1"/>
  <c r="AQ354" i="15"/>
  <c r="AP354" i="15"/>
  <c r="AM354" i="15"/>
  <c r="AN354" i="15" s="1"/>
  <c r="AQ353" i="15"/>
  <c r="AP353" i="15"/>
  <c r="AM353" i="15"/>
  <c r="AN353" i="15" s="1"/>
  <c r="AQ352" i="15"/>
  <c r="AP352" i="15"/>
  <c r="AM352" i="15"/>
  <c r="AN352" i="15" s="1"/>
  <c r="AQ351" i="15"/>
  <c r="AP351" i="15"/>
  <c r="AM351" i="15"/>
  <c r="AN351" i="15" s="1"/>
  <c r="AQ350" i="15"/>
  <c r="AP350" i="15"/>
  <c r="AM350" i="15"/>
  <c r="AN350" i="15" s="1"/>
  <c r="AQ349" i="15"/>
  <c r="AP349" i="15"/>
  <c r="AM349" i="15"/>
  <c r="AN349" i="15" s="1"/>
  <c r="AQ348" i="15"/>
  <c r="AP348" i="15"/>
  <c r="AM348" i="15"/>
  <c r="AN348" i="15" s="1"/>
  <c r="AQ347" i="15"/>
  <c r="AP347" i="15"/>
  <c r="AM347" i="15"/>
  <c r="AN347" i="15" s="1"/>
  <c r="AQ346" i="15"/>
  <c r="AP346" i="15"/>
  <c r="AM346" i="15"/>
  <c r="AN346" i="15" s="1"/>
  <c r="AQ345" i="15"/>
  <c r="AP345" i="15"/>
  <c r="AM345" i="15"/>
  <c r="AN345" i="15" s="1"/>
  <c r="AQ344" i="15"/>
  <c r="AP344" i="15"/>
  <c r="AM344" i="15"/>
  <c r="AN344" i="15" s="1"/>
  <c r="AQ343" i="15"/>
  <c r="AP343" i="15"/>
  <c r="AM343" i="15"/>
  <c r="AN343" i="15" s="1"/>
  <c r="AQ342" i="15"/>
  <c r="AP342" i="15"/>
  <c r="AM342" i="15"/>
  <c r="AN342" i="15" s="1"/>
  <c r="AQ341" i="15"/>
  <c r="AP341" i="15"/>
  <c r="AM341" i="15"/>
  <c r="AN341" i="15" s="1"/>
  <c r="AQ340" i="15"/>
  <c r="AP340" i="15"/>
  <c r="AM340" i="15"/>
  <c r="AN340" i="15" s="1"/>
  <c r="AQ339" i="15"/>
  <c r="AP339" i="15"/>
  <c r="AM339" i="15"/>
  <c r="AN339" i="15" s="1"/>
  <c r="AQ338" i="15"/>
  <c r="AP338" i="15"/>
  <c r="AM338" i="15"/>
  <c r="AN338" i="15" s="1"/>
  <c r="AQ337" i="15"/>
  <c r="AP337" i="15"/>
  <c r="AM337" i="15"/>
  <c r="AN337" i="15" s="1"/>
  <c r="AQ336" i="15"/>
  <c r="AP336" i="15"/>
  <c r="AM336" i="15"/>
  <c r="AN336" i="15" s="1"/>
  <c r="AQ335" i="15"/>
  <c r="AP335" i="15"/>
  <c r="AM335" i="15"/>
  <c r="AN335" i="15" s="1"/>
  <c r="AQ334" i="15"/>
  <c r="AP334" i="15"/>
  <c r="AM334" i="15"/>
  <c r="AN334" i="15" s="1"/>
  <c r="AQ333" i="15"/>
  <c r="AP333" i="15"/>
  <c r="AM333" i="15"/>
  <c r="AN333" i="15" s="1"/>
  <c r="AQ332" i="15"/>
  <c r="AP332" i="15"/>
  <c r="AM332" i="15"/>
  <c r="AN332" i="15" s="1"/>
  <c r="AQ331" i="15"/>
  <c r="AP331" i="15"/>
  <c r="AM331" i="15"/>
  <c r="AN331" i="15" s="1"/>
  <c r="AQ330" i="15"/>
  <c r="AP330" i="15"/>
  <c r="AM330" i="15"/>
  <c r="AN330" i="15" s="1"/>
  <c r="AM329" i="15"/>
  <c r="AN329" i="15" s="1"/>
  <c r="AM328" i="15"/>
  <c r="AN328" i="15" s="1"/>
  <c r="AM327" i="15"/>
  <c r="AN327" i="15" s="1"/>
  <c r="AM326" i="15"/>
  <c r="AL321" i="15"/>
  <c r="AK321" i="15"/>
  <c r="AJ321" i="15"/>
  <c r="AI321" i="15"/>
  <c r="AH321" i="15"/>
  <c r="AG321" i="15"/>
  <c r="AF321" i="15"/>
  <c r="AE321" i="15"/>
  <c r="AD321" i="15"/>
  <c r="AC321" i="15"/>
  <c r="AB321" i="15"/>
  <c r="AA321" i="15"/>
  <c r="Z321" i="15"/>
  <c r="Y321" i="15"/>
  <c r="X321" i="15"/>
  <c r="W321" i="15"/>
  <c r="V321" i="15"/>
  <c r="U321" i="15"/>
  <c r="T321" i="15"/>
  <c r="S321" i="15"/>
  <c r="R321" i="15"/>
  <c r="Q321" i="15"/>
  <c r="P321" i="15"/>
  <c r="O321" i="15"/>
  <c r="N321" i="15"/>
  <c r="M321" i="15"/>
  <c r="L321" i="15"/>
  <c r="K321" i="15"/>
  <c r="J321" i="15"/>
  <c r="I321" i="15"/>
  <c r="H321" i="15"/>
  <c r="AQ320" i="15"/>
  <c r="AP320" i="15"/>
  <c r="AM320" i="15"/>
  <c r="AN320" i="15" s="1"/>
  <c r="AQ319" i="15"/>
  <c r="AP319" i="15"/>
  <c r="AM319" i="15"/>
  <c r="AN319" i="15" s="1"/>
  <c r="AQ318" i="15"/>
  <c r="AP318" i="15"/>
  <c r="AM318" i="15"/>
  <c r="AN318" i="15" s="1"/>
  <c r="AQ317" i="15"/>
  <c r="AP317" i="15"/>
  <c r="AN317" i="15"/>
  <c r="AM317" i="15"/>
  <c r="AQ316" i="15"/>
  <c r="AP316" i="15"/>
  <c r="AM316" i="15"/>
  <c r="AN316" i="15" s="1"/>
  <c r="AQ315" i="15"/>
  <c r="AP315" i="15"/>
  <c r="AM315" i="15"/>
  <c r="AN315" i="15" s="1"/>
  <c r="AQ314" i="15"/>
  <c r="AP314" i="15"/>
  <c r="AM314" i="15"/>
  <c r="AN314" i="15" s="1"/>
  <c r="AQ313" i="15"/>
  <c r="AP313" i="15"/>
  <c r="AM313" i="15"/>
  <c r="AN313" i="15" s="1"/>
  <c r="AQ312" i="15"/>
  <c r="AP312" i="15"/>
  <c r="AM312" i="15"/>
  <c r="AN312" i="15" s="1"/>
  <c r="AQ311" i="15"/>
  <c r="AP311" i="15"/>
  <c r="AN311" i="15"/>
  <c r="AM311" i="15"/>
  <c r="AQ310" i="15"/>
  <c r="AP310" i="15"/>
  <c r="AM310" i="15"/>
  <c r="AN310" i="15" s="1"/>
  <c r="AQ309" i="15"/>
  <c r="AP309" i="15"/>
  <c r="AN309" i="15"/>
  <c r="AM309" i="15"/>
  <c r="AQ308" i="15"/>
  <c r="AP308" i="15"/>
  <c r="AM308" i="15"/>
  <c r="AN308" i="15" s="1"/>
  <c r="AQ307" i="15"/>
  <c r="AP307" i="15"/>
  <c r="AM307" i="15"/>
  <c r="AN307" i="15" s="1"/>
  <c r="AQ306" i="15"/>
  <c r="AP306" i="15"/>
  <c r="AM306" i="15"/>
  <c r="AN306" i="15" s="1"/>
  <c r="AQ305" i="15"/>
  <c r="AP305" i="15"/>
  <c r="AN305" i="15"/>
  <c r="AM305" i="15"/>
  <c r="AQ304" i="15"/>
  <c r="AP304" i="15"/>
  <c r="AM304" i="15"/>
  <c r="AN304" i="15" s="1"/>
  <c r="AQ303" i="15"/>
  <c r="AP303" i="15"/>
  <c r="AM303" i="15"/>
  <c r="AN303" i="15" s="1"/>
  <c r="AQ302" i="15"/>
  <c r="AP302" i="15"/>
  <c r="AM302" i="15"/>
  <c r="AN302" i="15" s="1"/>
  <c r="AQ301" i="15"/>
  <c r="AP301" i="15"/>
  <c r="AN301" i="15"/>
  <c r="AM301" i="15"/>
  <c r="AQ300" i="15"/>
  <c r="AP300" i="15"/>
  <c r="AM300" i="15"/>
  <c r="AN300" i="15" s="1"/>
  <c r="AQ299" i="15"/>
  <c r="AP299" i="15"/>
  <c r="AM299" i="15"/>
  <c r="AN299" i="15" s="1"/>
  <c r="AQ298" i="15"/>
  <c r="AP298" i="15"/>
  <c r="AM298" i="15"/>
  <c r="AN298" i="15" s="1"/>
  <c r="AQ297" i="15"/>
  <c r="AP297" i="15"/>
  <c r="AM297" i="15"/>
  <c r="AN297" i="15" s="1"/>
  <c r="AQ296" i="15"/>
  <c r="AP296" i="15"/>
  <c r="AM296" i="15"/>
  <c r="AN296" i="15" s="1"/>
  <c r="AQ295" i="15"/>
  <c r="AP295" i="15"/>
  <c r="AN295" i="15"/>
  <c r="AM295" i="15"/>
  <c r="AQ294" i="15"/>
  <c r="AP294" i="15"/>
  <c r="AM294" i="15"/>
  <c r="AN294" i="15" s="1"/>
  <c r="AQ293" i="15"/>
  <c r="AP293" i="15"/>
  <c r="AN293" i="15"/>
  <c r="AM293" i="15"/>
  <c r="AQ292" i="15"/>
  <c r="AP292" i="15"/>
  <c r="AM292" i="15"/>
  <c r="AN292" i="15" s="1"/>
  <c r="AQ291" i="15"/>
  <c r="AP291" i="15"/>
  <c r="AM291" i="15"/>
  <c r="AN291" i="15" s="1"/>
  <c r="AQ290" i="15"/>
  <c r="AP290" i="15"/>
  <c r="AM290" i="15"/>
  <c r="AN290" i="15" s="1"/>
  <c r="AQ289" i="15"/>
  <c r="AP289" i="15"/>
  <c r="AN289" i="15"/>
  <c r="AM289" i="15"/>
  <c r="AQ288" i="15"/>
  <c r="AP288" i="15"/>
  <c r="AM288" i="15"/>
  <c r="AN288" i="15" s="1"/>
  <c r="AQ287" i="15"/>
  <c r="AP287" i="15"/>
  <c r="AM287" i="15"/>
  <c r="AN287" i="15" s="1"/>
  <c r="AQ286" i="15"/>
  <c r="AP286" i="15"/>
  <c r="AM286" i="15"/>
  <c r="AN286" i="15" s="1"/>
  <c r="AQ285" i="15"/>
  <c r="AP285" i="15"/>
  <c r="AN285" i="15"/>
  <c r="AM285" i="15"/>
  <c r="AM284" i="15"/>
  <c r="AN284" i="15" s="1"/>
  <c r="AM283" i="15"/>
  <c r="AN283" i="15" s="1"/>
  <c r="AM282" i="15"/>
  <c r="AN282" i="15" s="1"/>
  <c r="AM281" i="15"/>
  <c r="AL276" i="15"/>
  <c r="AK276" i="15"/>
  <c r="AJ276" i="15"/>
  <c r="AI276" i="15"/>
  <c r="AH276" i="15"/>
  <c r="AG276" i="15"/>
  <c r="AF276" i="15"/>
  <c r="AE276" i="15"/>
  <c r="AD276" i="15"/>
  <c r="AC276" i="15"/>
  <c r="AB276" i="15"/>
  <c r="AA276" i="15"/>
  <c r="Z276" i="15"/>
  <c r="Y276" i="15"/>
  <c r="X276" i="15"/>
  <c r="W276" i="15"/>
  <c r="V276" i="15"/>
  <c r="U276" i="15"/>
  <c r="T276" i="15"/>
  <c r="S276" i="15"/>
  <c r="R276" i="15"/>
  <c r="Q276" i="15"/>
  <c r="P276" i="15"/>
  <c r="O276" i="15"/>
  <c r="N276" i="15"/>
  <c r="M276" i="15"/>
  <c r="L276" i="15"/>
  <c r="K276" i="15"/>
  <c r="J276" i="15"/>
  <c r="I276" i="15"/>
  <c r="H276" i="15"/>
  <c r="AQ275" i="15"/>
  <c r="AP275" i="15"/>
  <c r="AM275" i="15"/>
  <c r="AN275" i="15" s="1"/>
  <c r="AQ274" i="15"/>
  <c r="AP274" i="15"/>
  <c r="AN274" i="15"/>
  <c r="AM274" i="15"/>
  <c r="AQ273" i="15"/>
  <c r="AP273" i="15"/>
  <c r="AM273" i="15"/>
  <c r="AN273" i="15" s="1"/>
  <c r="AQ272" i="15"/>
  <c r="AP272" i="15"/>
  <c r="AN272" i="15"/>
  <c r="AM272" i="15"/>
  <c r="AQ271" i="15"/>
  <c r="AP271" i="15"/>
  <c r="AN271" i="15"/>
  <c r="AM271" i="15"/>
  <c r="AQ270" i="15"/>
  <c r="AP270" i="15"/>
  <c r="AN270" i="15"/>
  <c r="AM270" i="15"/>
  <c r="AQ269" i="15"/>
  <c r="AP269" i="15"/>
  <c r="AN269" i="15"/>
  <c r="AM269" i="15"/>
  <c r="AQ268" i="15"/>
  <c r="AP268" i="15"/>
  <c r="AN268" i="15"/>
  <c r="AM268" i="15"/>
  <c r="AQ267" i="15"/>
  <c r="AP267" i="15"/>
  <c r="AN267" i="15"/>
  <c r="AM267" i="15"/>
  <c r="AQ266" i="15"/>
  <c r="AP266" i="15"/>
  <c r="AN266" i="15"/>
  <c r="AM266" i="15"/>
  <c r="AQ265" i="15"/>
  <c r="AP265" i="15"/>
  <c r="AN265" i="15"/>
  <c r="AM265" i="15"/>
  <c r="AQ264" i="15"/>
  <c r="AP264" i="15"/>
  <c r="AN264" i="15"/>
  <c r="AM264" i="15"/>
  <c r="AQ263" i="15"/>
  <c r="AP263" i="15"/>
  <c r="AN263" i="15"/>
  <c r="AM263" i="15"/>
  <c r="AQ262" i="15"/>
  <c r="AP262" i="15"/>
  <c r="AN262" i="15"/>
  <c r="AM262" i="15"/>
  <c r="AQ261" i="15"/>
  <c r="AP261" i="15"/>
  <c r="AN261" i="15"/>
  <c r="AM261" i="15"/>
  <c r="AQ260" i="15"/>
  <c r="AP260" i="15"/>
  <c r="AN260" i="15"/>
  <c r="AM260" i="15"/>
  <c r="AQ259" i="15"/>
  <c r="AP259" i="15"/>
  <c r="AN259" i="15"/>
  <c r="AM259" i="15"/>
  <c r="AQ258" i="15"/>
  <c r="AP258" i="15"/>
  <c r="AN258" i="15"/>
  <c r="AM258" i="15"/>
  <c r="AQ257" i="15"/>
  <c r="AP257" i="15"/>
  <c r="AN257" i="15"/>
  <c r="AM257" i="15"/>
  <c r="AQ256" i="15"/>
  <c r="AP256" i="15"/>
  <c r="AN256" i="15"/>
  <c r="AM256" i="15"/>
  <c r="AQ255" i="15"/>
  <c r="AP255" i="15"/>
  <c r="AN255" i="15"/>
  <c r="AM255" i="15"/>
  <c r="AQ254" i="15"/>
  <c r="AP254" i="15"/>
  <c r="AN254" i="15"/>
  <c r="AM254" i="15"/>
  <c r="AQ253" i="15"/>
  <c r="AP253" i="15"/>
  <c r="AN253" i="15"/>
  <c r="AM253" i="15"/>
  <c r="AQ252" i="15"/>
  <c r="AP252" i="15"/>
  <c r="AN252" i="15"/>
  <c r="AM252" i="15"/>
  <c r="AQ251" i="15"/>
  <c r="AP251" i="15"/>
  <c r="AN251" i="15"/>
  <c r="AM251" i="15"/>
  <c r="AQ250" i="15"/>
  <c r="AP250" i="15"/>
  <c r="AN250" i="15"/>
  <c r="AM250" i="15"/>
  <c r="AQ249" i="15"/>
  <c r="AP249" i="15"/>
  <c r="AN249" i="15"/>
  <c r="AM249" i="15"/>
  <c r="AQ248" i="15"/>
  <c r="AP248" i="15"/>
  <c r="AN248" i="15"/>
  <c r="AM248" i="15"/>
  <c r="AQ247" i="15"/>
  <c r="AP247" i="15"/>
  <c r="AN247" i="15"/>
  <c r="AM247" i="15"/>
  <c r="AQ246" i="15"/>
  <c r="AP246" i="15"/>
  <c r="AM246" i="15"/>
  <c r="AN246" i="15" s="1"/>
  <c r="AQ245" i="15"/>
  <c r="AP245" i="15"/>
  <c r="AN245" i="15"/>
  <c r="AM245" i="15"/>
  <c r="AQ244" i="15"/>
  <c r="AP244" i="15"/>
  <c r="AN244" i="15"/>
  <c r="AM244" i="15"/>
  <c r="AQ243" i="15"/>
  <c r="AP243" i="15"/>
  <c r="AN243" i="15"/>
  <c r="AM243" i="15"/>
  <c r="AQ242" i="15"/>
  <c r="AP242" i="15"/>
  <c r="AN242" i="15"/>
  <c r="AM242" i="15"/>
  <c r="AQ241" i="15"/>
  <c r="AP241" i="15"/>
  <c r="AN241" i="15"/>
  <c r="AM241" i="15"/>
  <c r="AQ240" i="15"/>
  <c r="AP240" i="15"/>
  <c r="AN240" i="15"/>
  <c r="AM240" i="15"/>
  <c r="AM239" i="15"/>
  <c r="AN239" i="15" s="1"/>
  <c r="AN238" i="15"/>
  <c r="AM238" i="15"/>
  <c r="AM237" i="15"/>
  <c r="AN237" i="15" s="1"/>
  <c r="AN236" i="15"/>
  <c r="AM236" i="15"/>
  <c r="AL231" i="15"/>
  <c r="AK231" i="15"/>
  <c r="AJ231" i="15"/>
  <c r="AI231" i="15"/>
  <c r="AH231" i="15"/>
  <c r="AG231" i="15"/>
  <c r="AF231" i="15"/>
  <c r="AE231" i="15"/>
  <c r="AD231" i="15"/>
  <c r="AC231" i="15"/>
  <c r="AB231" i="15"/>
  <c r="AA231" i="15"/>
  <c r="Z231" i="15"/>
  <c r="Y231" i="15"/>
  <c r="X231" i="15"/>
  <c r="W231" i="15"/>
  <c r="V231" i="15"/>
  <c r="U231" i="15"/>
  <c r="T231" i="15"/>
  <c r="S231" i="15"/>
  <c r="R231" i="15"/>
  <c r="Q231" i="15"/>
  <c r="P231" i="15"/>
  <c r="O231" i="15"/>
  <c r="N231" i="15"/>
  <c r="M231" i="15"/>
  <c r="L231" i="15"/>
  <c r="K231" i="15"/>
  <c r="J231" i="15"/>
  <c r="I231" i="15"/>
  <c r="H231" i="15"/>
  <c r="AQ230" i="15"/>
  <c r="AP230" i="15"/>
  <c r="AM230" i="15"/>
  <c r="AN230" i="15" s="1"/>
  <c r="AQ229" i="15"/>
  <c r="AP229" i="15"/>
  <c r="AN229" i="15"/>
  <c r="AM229" i="15"/>
  <c r="AQ228" i="15"/>
  <c r="AP228" i="15"/>
  <c r="AM228" i="15"/>
  <c r="AN228" i="15" s="1"/>
  <c r="AQ227" i="15"/>
  <c r="AP227" i="15"/>
  <c r="AN227" i="15"/>
  <c r="AM227" i="15"/>
  <c r="AQ226" i="15"/>
  <c r="AP226" i="15"/>
  <c r="AM226" i="15"/>
  <c r="AN226" i="15" s="1"/>
  <c r="AQ225" i="15"/>
  <c r="AP225" i="15"/>
  <c r="AN225" i="15"/>
  <c r="AM225" i="15"/>
  <c r="AQ224" i="15"/>
  <c r="AP224" i="15"/>
  <c r="AM224" i="15"/>
  <c r="AN224" i="15" s="1"/>
  <c r="AQ223" i="15"/>
  <c r="AP223" i="15"/>
  <c r="AN223" i="15"/>
  <c r="AM223" i="15"/>
  <c r="AQ222" i="15"/>
  <c r="AP222" i="15"/>
  <c r="AM222" i="15"/>
  <c r="AN222" i="15" s="1"/>
  <c r="AQ221" i="15"/>
  <c r="AP221" i="15"/>
  <c r="AN221" i="15"/>
  <c r="AM221" i="15"/>
  <c r="AQ220" i="15"/>
  <c r="AP220" i="15"/>
  <c r="AM220" i="15"/>
  <c r="AN220" i="15" s="1"/>
  <c r="AQ219" i="15"/>
  <c r="AP219" i="15"/>
  <c r="AN219" i="15"/>
  <c r="AM219" i="15"/>
  <c r="AQ218" i="15"/>
  <c r="AP218" i="15"/>
  <c r="AM218" i="15"/>
  <c r="AN218" i="15" s="1"/>
  <c r="AQ217" i="15"/>
  <c r="AP217" i="15"/>
  <c r="AN217" i="15"/>
  <c r="AM217" i="15"/>
  <c r="AQ216" i="15"/>
  <c r="AP216" i="15"/>
  <c r="AM216" i="15"/>
  <c r="AN216" i="15" s="1"/>
  <c r="AQ215" i="15"/>
  <c r="AP215" i="15"/>
  <c r="AN215" i="15"/>
  <c r="AM215" i="15"/>
  <c r="AQ214" i="15"/>
  <c r="AP214" i="15"/>
  <c r="AM214" i="15"/>
  <c r="AN214" i="15" s="1"/>
  <c r="AQ213" i="15"/>
  <c r="AP213" i="15"/>
  <c r="AN213" i="15"/>
  <c r="AM213" i="15"/>
  <c r="AQ212" i="15"/>
  <c r="AP212" i="15"/>
  <c r="AM212" i="15"/>
  <c r="AN212" i="15" s="1"/>
  <c r="AQ211" i="15"/>
  <c r="AP211" i="15"/>
  <c r="AN211" i="15"/>
  <c r="AM211" i="15"/>
  <c r="AQ210" i="15"/>
  <c r="AP210" i="15"/>
  <c r="AM210" i="15"/>
  <c r="AN210" i="15" s="1"/>
  <c r="AQ209" i="15"/>
  <c r="AP209" i="15"/>
  <c r="AN209" i="15"/>
  <c r="AM209" i="15"/>
  <c r="AQ208" i="15"/>
  <c r="AP208" i="15"/>
  <c r="AM208" i="15"/>
  <c r="AN208" i="15" s="1"/>
  <c r="AQ207" i="15"/>
  <c r="AP207" i="15"/>
  <c r="AN207" i="15"/>
  <c r="AM207" i="15"/>
  <c r="AQ206" i="15"/>
  <c r="AP206" i="15"/>
  <c r="AM206" i="15"/>
  <c r="AN206" i="15" s="1"/>
  <c r="AQ205" i="15"/>
  <c r="AP205" i="15"/>
  <c r="AN205" i="15"/>
  <c r="AM205" i="15"/>
  <c r="AQ204" i="15"/>
  <c r="AP204" i="15"/>
  <c r="AM204" i="15"/>
  <c r="AN204" i="15" s="1"/>
  <c r="AQ203" i="15"/>
  <c r="AP203" i="15"/>
  <c r="AN203" i="15"/>
  <c r="AM203" i="15"/>
  <c r="AQ202" i="15"/>
  <c r="AP202" i="15"/>
  <c r="AM202" i="15"/>
  <c r="AN202" i="15" s="1"/>
  <c r="AQ201" i="15"/>
  <c r="AP201" i="15"/>
  <c r="AN201" i="15"/>
  <c r="AM201" i="15"/>
  <c r="AQ200" i="15"/>
  <c r="AP200" i="15"/>
  <c r="AM200" i="15"/>
  <c r="AN200" i="15" s="1"/>
  <c r="AQ199" i="15"/>
  <c r="AP199" i="15"/>
  <c r="AM199" i="15"/>
  <c r="AN199" i="15" s="1"/>
  <c r="AQ198" i="15"/>
  <c r="AP198" i="15"/>
  <c r="AM198" i="15"/>
  <c r="AN198" i="15" s="1"/>
  <c r="AQ197" i="15"/>
  <c r="AP197" i="15"/>
  <c r="AM197" i="15"/>
  <c r="AN197" i="15" s="1"/>
  <c r="AQ196" i="15"/>
  <c r="AP196" i="15"/>
  <c r="AM196" i="15"/>
  <c r="AN196" i="15" s="1"/>
  <c r="AQ195" i="15"/>
  <c r="AP195" i="15"/>
  <c r="AM195" i="15"/>
  <c r="AN195" i="15" s="1"/>
  <c r="AN194" i="15"/>
  <c r="AM194" i="15"/>
  <c r="AM193" i="15"/>
  <c r="AN193" i="15" s="1"/>
  <c r="AM192" i="15"/>
  <c r="AN192" i="15" s="1"/>
  <c r="AM191" i="15"/>
  <c r="AN191" i="15" s="1"/>
  <c r="AL186" i="15"/>
  <c r="AK186" i="15"/>
  <c r="AJ186" i="15"/>
  <c r="AI186" i="15"/>
  <c r="AH186" i="15"/>
  <c r="AG186" i="15"/>
  <c r="AF186" i="15"/>
  <c r="AE186" i="15"/>
  <c r="AD186" i="15"/>
  <c r="AC186" i="15"/>
  <c r="AB186" i="15"/>
  <c r="AA186" i="15"/>
  <c r="Z186" i="15"/>
  <c r="Y186" i="15"/>
  <c r="X186" i="15"/>
  <c r="W186" i="15"/>
  <c r="V186" i="15"/>
  <c r="U186" i="15"/>
  <c r="T186" i="15"/>
  <c r="S186" i="15"/>
  <c r="R186" i="15"/>
  <c r="Q186" i="15"/>
  <c r="P186" i="15"/>
  <c r="O186" i="15"/>
  <c r="N186" i="15"/>
  <c r="M186" i="15"/>
  <c r="L186" i="15"/>
  <c r="K186" i="15"/>
  <c r="J186" i="15"/>
  <c r="I186" i="15"/>
  <c r="H186" i="15"/>
  <c r="AQ185" i="15"/>
  <c r="AP185" i="15"/>
  <c r="AM185" i="15"/>
  <c r="AN185" i="15" s="1"/>
  <c r="AQ184" i="15"/>
  <c r="AP184" i="15"/>
  <c r="AN184" i="15"/>
  <c r="AM184" i="15"/>
  <c r="AQ183" i="15"/>
  <c r="AP183" i="15"/>
  <c r="AM183" i="15"/>
  <c r="AN183" i="15" s="1"/>
  <c r="AQ182" i="15"/>
  <c r="AP182" i="15"/>
  <c r="AN182" i="15"/>
  <c r="AM182" i="15"/>
  <c r="AQ181" i="15"/>
  <c r="AP181" i="15"/>
  <c r="AM181" i="15"/>
  <c r="AN181" i="15" s="1"/>
  <c r="AQ180" i="15"/>
  <c r="AP180" i="15"/>
  <c r="AN180" i="15"/>
  <c r="AM180" i="15"/>
  <c r="AQ179" i="15"/>
  <c r="AP179" i="15"/>
  <c r="AM179" i="15"/>
  <c r="AN179" i="15" s="1"/>
  <c r="AQ178" i="15"/>
  <c r="AP178" i="15"/>
  <c r="AN178" i="15"/>
  <c r="AM178" i="15"/>
  <c r="AQ177" i="15"/>
  <c r="AP177" i="15"/>
  <c r="AM177" i="15"/>
  <c r="AN177" i="15" s="1"/>
  <c r="AQ176" i="15"/>
  <c r="AP176" i="15"/>
  <c r="AN176" i="15"/>
  <c r="AM176" i="15"/>
  <c r="AQ175" i="15"/>
  <c r="AP175" i="15"/>
  <c r="AM175" i="15"/>
  <c r="AN175" i="15" s="1"/>
  <c r="AQ174" i="15"/>
  <c r="AP174" i="15"/>
  <c r="AN174" i="15"/>
  <c r="AM174" i="15"/>
  <c r="AQ173" i="15"/>
  <c r="AP173" i="15"/>
  <c r="AM173" i="15"/>
  <c r="AN173" i="15" s="1"/>
  <c r="AQ172" i="15"/>
  <c r="AP172" i="15"/>
  <c r="AN172" i="15"/>
  <c r="AM172" i="15"/>
  <c r="AQ171" i="15"/>
  <c r="AP171" i="15"/>
  <c r="AM171" i="15"/>
  <c r="AN171" i="15" s="1"/>
  <c r="AQ170" i="15"/>
  <c r="AP170" i="15"/>
  <c r="AN170" i="15"/>
  <c r="AM170" i="15"/>
  <c r="AQ169" i="15"/>
  <c r="AP169" i="15"/>
  <c r="AM169" i="15"/>
  <c r="AN169" i="15" s="1"/>
  <c r="AQ168" i="15"/>
  <c r="AP168" i="15"/>
  <c r="AM168" i="15"/>
  <c r="AN168" i="15" s="1"/>
  <c r="AQ167" i="15"/>
  <c r="AP167" i="15"/>
  <c r="AM167" i="15"/>
  <c r="AN167" i="15" s="1"/>
  <c r="AQ166" i="15"/>
  <c r="AP166" i="15"/>
  <c r="AN166" i="15"/>
  <c r="AM166" i="15"/>
  <c r="AQ165" i="15"/>
  <c r="AP165" i="15"/>
  <c r="AM165" i="15"/>
  <c r="AN165" i="15" s="1"/>
  <c r="AQ164" i="15"/>
  <c r="AP164" i="15"/>
  <c r="AN164" i="15"/>
  <c r="AM164" i="15"/>
  <c r="AQ163" i="15"/>
  <c r="AP163" i="15"/>
  <c r="AM163" i="15"/>
  <c r="AN163" i="15" s="1"/>
  <c r="AQ162" i="15"/>
  <c r="AP162" i="15"/>
  <c r="AN162" i="15"/>
  <c r="AM162" i="15"/>
  <c r="AQ161" i="15"/>
  <c r="AP161" i="15"/>
  <c r="AM161" i="15"/>
  <c r="AN161" i="15" s="1"/>
  <c r="AQ160" i="15"/>
  <c r="AP160" i="15"/>
  <c r="AN160" i="15"/>
  <c r="AM160" i="15"/>
  <c r="AQ159" i="15"/>
  <c r="AP159" i="15"/>
  <c r="AM159" i="15"/>
  <c r="AN159" i="15" s="1"/>
  <c r="AQ158" i="15"/>
  <c r="AP158" i="15"/>
  <c r="AN158" i="15"/>
  <c r="AM158" i="15"/>
  <c r="AQ157" i="15"/>
  <c r="AP157" i="15"/>
  <c r="AM157" i="15"/>
  <c r="AN157" i="15" s="1"/>
  <c r="AQ156" i="15"/>
  <c r="AP156" i="15"/>
  <c r="AN156" i="15"/>
  <c r="AM156" i="15"/>
  <c r="AQ155" i="15"/>
  <c r="AP155" i="15"/>
  <c r="AM155" i="15"/>
  <c r="AN155" i="15" s="1"/>
  <c r="AQ154" i="15"/>
  <c r="AP154" i="15"/>
  <c r="AN154" i="15"/>
  <c r="AM154" i="15"/>
  <c r="AQ153" i="15"/>
  <c r="AP153" i="15"/>
  <c r="AM153" i="15"/>
  <c r="AN153" i="15" s="1"/>
  <c r="AQ152" i="15"/>
  <c r="AP152" i="15"/>
  <c r="AN152" i="15"/>
  <c r="AM152" i="15"/>
  <c r="AQ151" i="15"/>
  <c r="AP151" i="15"/>
  <c r="AM151" i="15"/>
  <c r="AN151" i="15" s="1"/>
  <c r="AQ150" i="15"/>
  <c r="AP150" i="15"/>
  <c r="AN150" i="15"/>
  <c r="AM150" i="15"/>
  <c r="AM149" i="15"/>
  <c r="AN149" i="15" s="1"/>
  <c r="AM148" i="15"/>
  <c r="AM186" i="15" s="1"/>
  <c r="AM147" i="15"/>
  <c r="AN147" i="15" s="1"/>
  <c r="AN146" i="15"/>
  <c r="AM146" i="15"/>
  <c r="AL141" i="15"/>
  <c r="AK141" i="15"/>
  <c r="AJ141" i="15"/>
  <c r="AI141" i="15"/>
  <c r="AH141" i="15"/>
  <c r="AG141" i="15"/>
  <c r="AF141" i="15"/>
  <c r="AE141" i="15"/>
  <c r="AD141" i="15"/>
  <c r="AC141" i="15"/>
  <c r="AB141" i="15"/>
  <c r="AA141" i="15"/>
  <c r="Z141" i="15"/>
  <c r="Y141" i="15"/>
  <c r="X141" i="15"/>
  <c r="W141" i="15"/>
  <c r="V141" i="15"/>
  <c r="U141" i="15"/>
  <c r="T141" i="15"/>
  <c r="S141" i="15"/>
  <c r="R141" i="15"/>
  <c r="Q141" i="15"/>
  <c r="P141" i="15"/>
  <c r="O141" i="15"/>
  <c r="N141" i="15"/>
  <c r="M141" i="15"/>
  <c r="L141" i="15"/>
  <c r="K141" i="15"/>
  <c r="J141" i="15"/>
  <c r="I141" i="15"/>
  <c r="H141" i="15"/>
  <c r="AQ140" i="15"/>
  <c r="AP140" i="15"/>
  <c r="AM140" i="15"/>
  <c r="AN140" i="15" s="1"/>
  <c r="AQ139" i="15"/>
  <c r="AP139" i="15"/>
  <c r="AN139" i="15"/>
  <c r="AM139" i="15"/>
  <c r="AQ138" i="15"/>
  <c r="AP138" i="15"/>
  <c r="AM138" i="15"/>
  <c r="AN138" i="15" s="1"/>
  <c r="AQ137" i="15"/>
  <c r="AP137" i="15"/>
  <c r="AN137" i="15"/>
  <c r="AM137" i="15"/>
  <c r="AQ136" i="15"/>
  <c r="AP136" i="15"/>
  <c r="AM136" i="15"/>
  <c r="AN136" i="15" s="1"/>
  <c r="AQ135" i="15"/>
  <c r="AP135" i="15"/>
  <c r="AN135" i="15"/>
  <c r="AM135" i="15"/>
  <c r="AQ134" i="15"/>
  <c r="AP134" i="15"/>
  <c r="AM134" i="15"/>
  <c r="AN134" i="15" s="1"/>
  <c r="AQ133" i="15"/>
  <c r="AP133" i="15"/>
  <c r="AN133" i="15"/>
  <c r="AM133" i="15"/>
  <c r="AQ132" i="15"/>
  <c r="AP132" i="15"/>
  <c r="AM132" i="15"/>
  <c r="AN132" i="15" s="1"/>
  <c r="AQ131" i="15"/>
  <c r="AP131" i="15"/>
  <c r="AN131" i="15"/>
  <c r="AM131" i="15"/>
  <c r="AQ130" i="15"/>
  <c r="AP130" i="15"/>
  <c r="AM130" i="15"/>
  <c r="AN130" i="15" s="1"/>
  <c r="AQ129" i="15"/>
  <c r="AP129" i="15"/>
  <c r="AN129" i="15"/>
  <c r="AM129" i="15"/>
  <c r="AQ128" i="15"/>
  <c r="AP128" i="15"/>
  <c r="AM128" i="15"/>
  <c r="AN128" i="15" s="1"/>
  <c r="AQ127" i="15"/>
  <c r="AP127" i="15"/>
  <c r="AN127" i="15"/>
  <c r="AM127" i="15"/>
  <c r="AQ126" i="15"/>
  <c r="AP126" i="15"/>
  <c r="AM126" i="15"/>
  <c r="AN126" i="15" s="1"/>
  <c r="AQ125" i="15"/>
  <c r="AP125" i="15"/>
  <c r="AN125" i="15"/>
  <c r="AM125" i="15"/>
  <c r="AQ124" i="15"/>
  <c r="AP124" i="15"/>
  <c r="AM124" i="15"/>
  <c r="AN124" i="15" s="1"/>
  <c r="AQ123" i="15"/>
  <c r="AP123" i="15"/>
  <c r="AN123" i="15"/>
  <c r="AM123" i="15"/>
  <c r="AQ122" i="15"/>
  <c r="AP122" i="15"/>
  <c r="AM122" i="15"/>
  <c r="AN122" i="15" s="1"/>
  <c r="AQ121" i="15"/>
  <c r="AP121" i="15"/>
  <c r="AN121" i="15"/>
  <c r="AM121" i="15"/>
  <c r="AQ120" i="15"/>
  <c r="AP120" i="15"/>
  <c r="AM120" i="15"/>
  <c r="AN120" i="15" s="1"/>
  <c r="AQ119" i="15"/>
  <c r="AP119" i="15"/>
  <c r="AM119" i="15"/>
  <c r="AN119" i="15" s="1"/>
  <c r="AQ118" i="15"/>
  <c r="AP118" i="15"/>
  <c r="AM118" i="15"/>
  <c r="AN118" i="15" s="1"/>
  <c r="AQ117" i="15"/>
  <c r="AP117" i="15"/>
  <c r="AN117" i="15"/>
  <c r="AM117" i="15"/>
  <c r="AQ116" i="15"/>
  <c r="AP116" i="15"/>
  <c r="AM116" i="15"/>
  <c r="AN116" i="15" s="1"/>
  <c r="AQ115" i="15"/>
  <c r="AP115" i="15"/>
  <c r="AN115" i="15"/>
  <c r="AM115" i="15"/>
  <c r="AQ114" i="15"/>
  <c r="AP114" i="15"/>
  <c r="AM114" i="15"/>
  <c r="AN114" i="15" s="1"/>
  <c r="AQ113" i="15"/>
  <c r="AP113" i="15"/>
  <c r="AN113" i="15"/>
  <c r="AM113" i="15"/>
  <c r="AQ112" i="15"/>
  <c r="AP112" i="15"/>
  <c r="AM112" i="15"/>
  <c r="AN112" i="15" s="1"/>
  <c r="AQ111" i="15"/>
  <c r="AP111" i="15"/>
  <c r="AN111" i="15"/>
  <c r="AM111" i="15"/>
  <c r="AQ110" i="15"/>
  <c r="AP110" i="15"/>
  <c r="AM110" i="15"/>
  <c r="AN110" i="15" s="1"/>
  <c r="AQ109" i="15"/>
  <c r="AP109" i="15"/>
  <c r="AN109" i="15"/>
  <c r="AM109" i="15"/>
  <c r="AQ108" i="15"/>
  <c r="AP108" i="15"/>
  <c r="AM108" i="15"/>
  <c r="AN108" i="15" s="1"/>
  <c r="AQ107" i="15"/>
  <c r="AP107" i="15"/>
  <c r="AN107" i="15"/>
  <c r="AM107" i="15"/>
  <c r="AQ106" i="15"/>
  <c r="AP106" i="15"/>
  <c r="AM106" i="15"/>
  <c r="AN106" i="15" s="1"/>
  <c r="AQ105" i="15"/>
  <c r="AP105" i="15"/>
  <c r="AN105" i="15"/>
  <c r="AM105" i="15"/>
  <c r="AM104" i="15"/>
  <c r="AN104" i="15" s="1"/>
  <c r="AM103" i="15"/>
  <c r="AN103" i="15" s="1"/>
  <c r="AN102" i="15"/>
  <c r="AM102" i="15"/>
  <c r="AN101" i="15"/>
  <c r="AM101" i="15"/>
  <c r="AM141" i="15" s="1"/>
  <c r="AL96" i="15"/>
  <c r="AK96" i="15"/>
  <c r="AJ96" i="15"/>
  <c r="AI96" i="15"/>
  <c r="AH96" i="15"/>
  <c r="AG96" i="15"/>
  <c r="AF96" i="15"/>
  <c r="AE96" i="15"/>
  <c r="AD96" i="15"/>
  <c r="AC96" i="15"/>
  <c r="AB96" i="15"/>
  <c r="AA96" i="15"/>
  <c r="Z96" i="15"/>
  <c r="Y96" i="15"/>
  <c r="X96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AQ95" i="15"/>
  <c r="AP95" i="15"/>
  <c r="AM95" i="15"/>
  <c r="AN95" i="15" s="1"/>
  <c r="AQ94" i="15"/>
  <c r="AP94" i="15"/>
  <c r="AN94" i="15"/>
  <c r="AM94" i="15"/>
  <c r="AQ93" i="15"/>
  <c r="AP93" i="15"/>
  <c r="AM93" i="15"/>
  <c r="AN93" i="15" s="1"/>
  <c r="AQ92" i="15"/>
  <c r="AP92" i="15"/>
  <c r="AM92" i="15"/>
  <c r="AN92" i="15" s="1"/>
  <c r="AQ91" i="15"/>
  <c r="AP91" i="15"/>
  <c r="AM91" i="15"/>
  <c r="AN91" i="15" s="1"/>
  <c r="AQ90" i="15"/>
  <c r="AP90" i="15"/>
  <c r="AM90" i="15"/>
  <c r="AN90" i="15" s="1"/>
  <c r="AQ89" i="15"/>
  <c r="AP89" i="15"/>
  <c r="AM89" i="15"/>
  <c r="AN89" i="15" s="1"/>
  <c r="AQ88" i="15"/>
  <c r="AP88" i="15"/>
  <c r="AM88" i="15"/>
  <c r="AN88" i="15" s="1"/>
  <c r="AQ87" i="15"/>
  <c r="AP87" i="15"/>
  <c r="AM87" i="15"/>
  <c r="AN87" i="15" s="1"/>
  <c r="AQ86" i="15"/>
  <c r="AP86" i="15"/>
  <c r="AM86" i="15"/>
  <c r="AN86" i="15" s="1"/>
  <c r="AQ85" i="15"/>
  <c r="AP85" i="15"/>
  <c r="AM85" i="15"/>
  <c r="AN85" i="15" s="1"/>
  <c r="AQ84" i="15"/>
  <c r="AP84" i="15"/>
  <c r="AN84" i="15"/>
  <c r="AM84" i="15"/>
  <c r="AQ83" i="15"/>
  <c r="AP83" i="15"/>
  <c r="AM83" i="15"/>
  <c r="AN83" i="15" s="1"/>
  <c r="AQ82" i="15"/>
  <c r="AP82" i="15"/>
  <c r="AM82" i="15"/>
  <c r="AN82" i="15" s="1"/>
  <c r="AQ81" i="15"/>
  <c r="AP81" i="15"/>
  <c r="AM81" i="15"/>
  <c r="AN81" i="15" s="1"/>
  <c r="AQ80" i="15"/>
  <c r="AP80" i="15"/>
  <c r="AM80" i="15"/>
  <c r="AN80" i="15" s="1"/>
  <c r="AQ79" i="15"/>
  <c r="AP79" i="15"/>
  <c r="AM79" i="15"/>
  <c r="AN79" i="15" s="1"/>
  <c r="AQ78" i="15"/>
  <c r="AP78" i="15"/>
  <c r="AM78" i="15"/>
  <c r="AN78" i="15" s="1"/>
  <c r="AQ77" i="15"/>
  <c r="AP77" i="15"/>
  <c r="AM77" i="15"/>
  <c r="AN77" i="15" s="1"/>
  <c r="AQ76" i="15"/>
  <c r="AP76" i="15"/>
  <c r="AN76" i="15"/>
  <c r="AM76" i="15"/>
  <c r="AQ75" i="15"/>
  <c r="AP75" i="15"/>
  <c r="AM75" i="15"/>
  <c r="AN75" i="15" s="1"/>
  <c r="AQ74" i="15"/>
  <c r="AP74" i="15"/>
  <c r="AM74" i="15"/>
  <c r="AN74" i="15" s="1"/>
  <c r="AQ73" i="15"/>
  <c r="AP73" i="15"/>
  <c r="AM73" i="15"/>
  <c r="AN73" i="15" s="1"/>
  <c r="AQ72" i="15"/>
  <c r="AP72" i="15"/>
  <c r="AM72" i="15"/>
  <c r="AN72" i="15" s="1"/>
  <c r="AQ71" i="15"/>
  <c r="AP71" i="15"/>
  <c r="AM71" i="15"/>
  <c r="AN71" i="15" s="1"/>
  <c r="AQ70" i="15"/>
  <c r="AP70" i="15"/>
  <c r="AM70" i="15"/>
  <c r="AN70" i="15" s="1"/>
  <c r="AQ69" i="15"/>
  <c r="AP69" i="15"/>
  <c r="AM69" i="15"/>
  <c r="AN69" i="15" s="1"/>
  <c r="AQ68" i="15"/>
  <c r="AP68" i="15"/>
  <c r="AN68" i="15"/>
  <c r="AM68" i="15"/>
  <c r="AQ67" i="15"/>
  <c r="AP67" i="15"/>
  <c r="AM67" i="15"/>
  <c r="AN67" i="15" s="1"/>
  <c r="AQ66" i="15"/>
  <c r="AP66" i="15"/>
  <c r="AM66" i="15"/>
  <c r="AN66" i="15" s="1"/>
  <c r="AQ65" i="15"/>
  <c r="AP65" i="15"/>
  <c r="AM65" i="15"/>
  <c r="AN65" i="15" s="1"/>
  <c r="AQ64" i="15"/>
  <c r="AP64" i="15"/>
  <c r="AM64" i="15"/>
  <c r="AN64" i="15" s="1"/>
  <c r="AQ63" i="15"/>
  <c r="AP63" i="15"/>
  <c r="AM63" i="15"/>
  <c r="AN63" i="15" s="1"/>
  <c r="AQ62" i="15"/>
  <c r="AP62" i="15"/>
  <c r="AM62" i="15"/>
  <c r="AN62" i="15" s="1"/>
  <c r="AQ61" i="15"/>
  <c r="AP61" i="15"/>
  <c r="AM61" i="15"/>
  <c r="AN61" i="15" s="1"/>
  <c r="AQ60" i="15"/>
  <c r="AP60" i="15"/>
  <c r="AM60" i="15"/>
  <c r="AN60" i="15" s="1"/>
  <c r="AM59" i="15"/>
  <c r="AN59" i="15" s="1"/>
  <c r="AM58" i="15"/>
  <c r="AN58" i="15" s="1"/>
  <c r="AM57" i="15"/>
  <c r="AN57" i="15" s="1"/>
  <c r="AM56" i="15"/>
  <c r="AQ15" i="15"/>
  <c r="AQ16" i="15"/>
  <c r="AQ17" i="15"/>
  <c r="AQ18" i="15"/>
  <c r="AQ19" i="15"/>
  <c r="AQ20" i="15"/>
  <c r="AQ21" i="15"/>
  <c r="AQ22" i="15"/>
  <c r="AQ23" i="15"/>
  <c r="AQ24" i="15"/>
  <c r="AQ25" i="15"/>
  <c r="AQ26" i="15"/>
  <c r="AQ27" i="15"/>
  <c r="AQ28" i="15"/>
  <c r="AQ29" i="15"/>
  <c r="AQ30" i="15"/>
  <c r="AQ31" i="15"/>
  <c r="AQ32" i="15"/>
  <c r="AQ33" i="15"/>
  <c r="AQ34" i="15"/>
  <c r="AQ35" i="15"/>
  <c r="AQ36" i="15"/>
  <c r="AQ37" i="15"/>
  <c r="AQ38" i="15"/>
  <c r="AQ39" i="15"/>
  <c r="AQ40" i="15"/>
  <c r="AQ41" i="15"/>
  <c r="AQ42" i="15"/>
  <c r="AQ43" i="15"/>
  <c r="AQ44" i="15"/>
  <c r="AQ45" i="15"/>
  <c r="AQ46" i="15"/>
  <c r="AQ47" i="15"/>
  <c r="AQ48" i="15"/>
  <c r="AQ49" i="15"/>
  <c r="AQ50" i="15"/>
  <c r="AP15" i="15"/>
  <c r="AP16" i="15"/>
  <c r="AP17" i="15"/>
  <c r="AP18" i="15"/>
  <c r="AP19" i="15"/>
  <c r="AP20" i="15"/>
  <c r="AP21" i="15"/>
  <c r="AP22" i="15"/>
  <c r="AP23" i="15"/>
  <c r="AP24" i="15"/>
  <c r="AP25" i="15"/>
  <c r="AP26" i="15"/>
  <c r="AP27" i="15"/>
  <c r="AP28" i="15"/>
  <c r="AP29" i="15"/>
  <c r="AP30" i="15"/>
  <c r="AP31" i="15"/>
  <c r="AP32" i="15"/>
  <c r="AP33" i="15"/>
  <c r="AP34" i="15"/>
  <c r="AP35" i="15"/>
  <c r="AP36" i="15"/>
  <c r="AP37" i="15"/>
  <c r="AP38" i="15"/>
  <c r="AP39" i="15"/>
  <c r="AP40" i="15"/>
  <c r="AP41" i="15"/>
  <c r="AP42" i="15"/>
  <c r="AP43" i="15"/>
  <c r="AP44" i="15"/>
  <c r="AP45" i="15"/>
  <c r="AP46" i="15"/>
  <c r="AP47" i="15"/>
  <c r="AP48" i="15"/>
  <c r="AP49" i="15"/>
  <c r="AP50" i="15"/>
  <c r="A2" i="15"/>
  <c r="AP11" i="15" s="1"/>
  <c r="AI51" i="15"/>
  <c r="AN22" i="15"/>
  <c r="AM12" i="15"/>
  <c r="AN12" i="15" s="1"/>
  <c r="AM13" i="15"/>
  <c r="AN13" i="15" s="1"/>
  <c r="AM14" i="15"/>
  <c r="AN14" i="15" s="1"/>
  <c r="AM15" i="15"/>
  <c r="AN15" i="15" s="1"/>
  <c r="AM16" i="15"/>
  <c r="AN16" i="15" s="1"/>
  <c r="AM17" i="15"/>
  <c r="AN17" i="15" s="1"/>
  <c r="AM18" i="15"/>
  <c r="AN18" i="15" s="1"/>
  <c r="AM19" i="15"/>
  <c r="AN19" i="15" s="1"/>
  <c r="AM20" i="15"/>
  <c r="AN20" i="15" s="1"/>
  <c r="AM21" i="15"/>
  <c r="AN21" i="15" s="1"/>
  <c r="AM22" i="15"/>
  <c r="AM23" i="15"/>
  <c r="AN23" i="15" s="1"/>
  <c r="AM24" i="15"/>
  <c r="AN24" i="15" s="1"/>
  <c r="AM25" i="15"/>
  <c r="AN25" i="15" s="1"/>
  <c r="AM26" i="15"/>
  <c r="AN26" i="15" s="1"/>
  <c r="AM27" i="15"/>
  <c r="AN27" i="15" s="1"/>
  <c r="AM28" i="15"/>
  <c r="AN28" i="15" s="1"/>
  <c r="AM29" i="15"/>
  <c r="AN29" i="15" s="1"/>
  <c r="AM30" i="15"/>
  <c r="AN30" i="15" s="1"/>
  <c r="AM31" i="15"/>
  <c r="AN31" i="15" s="1"/>
  <c r="AM32" i="15"/>
  <c r="AN32" i="15" s="1"/>
  <c r="AM33" i="15"/>
  <c r="AN33" i="15" s="1"/>
  <c r="AM34" i="15"/>
  <c r="AN34" i="15" s="1"/>
  <c r="AM35" i="15"/>
  <c r="AN35" i="15" s="1"/>
  <c r="AM36" i="15"/>
  <c r="AN36" i="15" s="1"/>
  <c r="AM37" i="15"/>
  <c r="AN37" i="15" s="1"/>
  <c r="AM38" i="15"/>
  <c r="AN38" i="15" s="1"/>
  <c r="AM39" i="15"/>
  <c r="AN39" i="15" s="1"/>
  <c r="AM40" i="15"/>
  <c r="AN40" i="15" s="1"/>
  <c r="AM41" i="15"/>
  <c r="AN41" i="15" s="1"/>
  <c r="AM42" i="15"/>
  <c r="AN42" i="15" s="1"/>
  <c r="AM43" i="15"/>
  <c r="AN43" i="15" s="1"/>
  <c r="AM44" i="15"/>
  <c r="AN44" i="15" s="1"/>
  <c r="AM45" i="15"/>
  <c r="AN45" i="15" s="1"/>
  <c r="AM46" i="15"/>
  <c r="AN46" i="15" s="1"/>
  <c r="AM47" i="15"/>
  <c r="AN47" i="15" s="1"/>
  <c r="AM48" i="15"/>
  <c r="AN48" i="15" s="1"/>
  <c r="AM49" i="15"/>
  <c r="AN49" i="15" s="1"/>
  <c r="AM50" i="15"/>
  <c r="AN50" i="15" s="1"/>
  <c r="AQ7" i="16" l="1"/>
  <c r="AQ6" i="16"/>
  <c r="W5" i="16"/>
  <c r="AQ5" i="16"/>
  <c r="AL14" i="16"/>
  <c r="AN14" i="16"/>
  <c r="AD23" i="16"/>
  <c r="AE15" i="16" s="1"/>
  <c r="O7" i="16"/>
  <c r="P5" i="16" s="1"/>
  <c r="G5" i="16"/>
  <c r="AM96" i="15"/>
  <c r="AN56" i="15"/>
  <c r="AN96" i="15" s="1"/>
  <c r="AN148" i="15"/>
  <c r="AM276" i="15"/>
  <c r="AN276" i="15"/>
  <c r="AN371" i="15"/>
  <c r="AM501" i="15"/>
  <c r="AN506" i="15"/>
  <c r="AN546" i="15" s="1"/>
  <c r="AM456" i="15"/>
  <c r="AN416" i="15"/>
  <c r="AM366" i="15"/>
  <c r="AM321" i="15"/>
  <c r="AN281" i="15"/>
  <c r="AM231" i="15"/>
  <c r="AN141" i="15"/>
  <c r="AP464" i="15"/>
  <c r="AQ506" i="15"/>
  <c r="AQ508" i="15"/>
  <c r="AQ416" i="15"/>
  <c r="AQ464" i="15"/>
  <c r="AP506" i="15"/>
  <c r="AP508" i="15"/>
  <c r="AP462" i="15"/>
  <c r="AQ462" i="15"/>
  <c r="AP507" i="15"/>
  <c r="AP509" i="15"/>
  <c r="AQ507" i="15"/>
  <c r="AQ509" i="15"/>
  <c r="AN501" i="15"/>
  <c r="AQ372" i="15"/>
  <c r="AQ418" i="15"/>
  <c r="AP461" i="15"/>
  <c r="AP463" i="15"/>
  <c r="AQ463" i="15"/>
  <c r="AQ461" i="15"/>
  <c r="AN456" i="15"/>
  <c r="AQ374" i="15"/>
  <c r="AQ371" i="15"/>
  <c r="AP416" i="15"/>
  <c r="AP418" i="15"/>
  <c r="AP417" i="15"/>
  <c r="AP419" i="15"/>
  <c r="AQ373" i="15"/>
  <c r="AQ417" i="15"/>
  <c r="AQ419" i="15"/>
  <c r="AN411" i="15"/>
  <c r="AP371" i="15"/>
  <c r="AP373" i="15"/>
  <c r="AP372" i="15"/>
  <c r="AP374" i="15"/>
  <c r="AN326" i="15"/>
  <c r="AN366" i="15" s="1"/>
  <c r="AP326" i="15"/>
  <c r="AP328" i="15"/>
  <c r="AQ326" i="15"/>
  <c r="AQ328" i="15"/>
  <c r="AP327" i="15"/>
  <c r="AP329" i="15"/>
  <c r="AQ327" i="15"/>
  <c r="AQ329" i="15"/>
  <c r="AN321" i="15"/>
  <c r="AQ281" i="15"/>
  <c r="AQ283" i="15"/>
  <c r="AP236" i="15"/>
  <c r="AP283" i="15"/>
  <c r="AP282" i="15"/>
  <c r="AP284" i="15"/>
  <c r="AQ194" i="15"/>
  <c r="AP281" i="15"/>
  <c r="AP238" i="15"/>
  <c r="AQ282" i="15"/>
  <c r="AQ284" i="15"/>
  <c r="AQ236" i="15"/>
  <c r="AQ238" i="15"/>
  <c r="AQ192" i="15"/>
  <c r="AP237" i="15"/>
  <c r="AP239" i="15"/>
  <c r="AQ237" i="15"/>
  <c r="AQ239" i="15"/>
  <c r="AN231" i="15"/>
  <c r="AP191" i="15"/>
  <c r="AP193" i="15"/>
  <c r="AQ191" i="15"/>
  <c r="AQ193" i="15"/>
  <c r="AP192" i="15"/>
  <c r="AP194" i="15"/>
  <c r="AN186" i="15"/>
  <c r="AP104" i="15"/>
  <c r="AQ149" i="15"/>
  <c r="AQ102" i="15"/>
  <c r="AP146" i="15"/>
  <c r="AP148" i="15"/>
  <c r="AP147" i="15"/>
  <c r="AQ147" i="15"/>
  <c r="AQ146" i="15"/>
  <c r="AQ148" i="15"/>
  <c r="AQ58" i="15"/>
  <c r="AQ103" i="15"/>
  <c r="AP149" i="15"/>
  <c r="AQ101" i="15"/>
  <c r="AP102" i="15"/>
  <c r="AQ104" i="15"/>
  <c r="AP101" i="15"/>
  <c r="AP103" i="15"/>
  <c r="AQ56" i="15"/>
  <c r="AP56" i="15"/>
  <c r="AP58" i="15"/>
  <c r="AP57" i="15"/>
  <c r="AP59" i="15"/>
  <c r="AQ57" i="15"/>
  <c r="AQ59" i="15"/>
  <c r="AP14" i="15"/>
  <c r="AQ11" i="15"/>
  <c r="AQ14" i="15"/>
  <c r="AQ12" i="15"/>
  <c r="AQ13" i="15"/>
  <c r="AP13" i="15"/>
  <c r="AP12" i="15"/>
  <c r="H51" i="15"/>
  <c r="I51" i="15"/>
  <c r="AE21" i="16" l="1"/>
  <c r="AE9" i="16"/>
  <c r="AE17" i="16"/>
  <c r="AE20" i="16"/>
  <c r="AE13" i="16"/>
  <c r="AE6" i="16"/>
  <c r="AE8" i="16"/>
  <c r="AE14" i="16"/>
  <c r="AE16" i="16"/>
  <c r="AE22" i="16"/>
  <c r="X5" i="16"/>
  <c r="P6" i="16"/>
  <c r="AE7" i="16"/>
  <c r="P4" i="16"/>
  <c r="AE4" i="16"/>
  <c r="P3" i="16"/>
  <c r="AE19" i="16"/>
  <c r="AE10" i="16"/>
  <c r="AE11" i="16"/>
  <c r="AE18" i="16"/>
  <c r="AE5" i="16"/>
  <c r="H4" i="16"/>
  <c r="H3" i="16"/>
  <c r="AE12" i="16"/>
  <c r="AE3" i="16"/>
  <c r="X4" i="16"/>
  <c r="X3" i="16"/>
  <c r="J51" i="15"/>
  <c r="K51" i="15"/>
  <c r="P7" i="16" l="1"/>
  <c r="Q4" i="16" s="1"/>
  <c r="H5" i="16"/>
  <c r="AE23" i="16"/>
  <c r="AF9" i="16" s="1"/>
  <c r="Q3" i="16"/>
  <c r="L51" i="15"/>
  <c r="BA51" i="15"/>
  <c r="AW51" i="15"/>
  <c r="AY51" i="15"/>
  <c r="M51" i="15"/>
  <c r="Q6" i="16" l="1"/>
  <c r="Q5" i="16"/>
  <c r="AF10" i="16"/>
  <c r="AF8" i="16"/>
  <c r="AF3" i="16"/>
  <c r="AF14" i="16"/>
  <c r="AF16" i="16"/>
  <c r="AF21" i="16"/>
  <c r="AF13" i="16"/>
  <c r="AF5" i="16"/>
  <c r="AF15" i="16"/>
  <c r="AF6" i="16"/>
  <c r="AF19" i="16"/>
  <c r="AF11" i="16"/>
  <c r="AF7" i="16"/>
  <c r="AF18" i="16"/>
  <c r="AF20" i="16"/>
  <c r="AF22" i="16"/>
  <c r="AF12" i="16"/>
  <c r="AF17" i="16"/>
  <c r="AF4" i="16"/>
  <c r="AZ11" i="15"/>
  <c r="AZ51" i="15" s="1"/>
  <c r="O51" i="15"/>
  <c r="N51" i="15"/>
  <c r="BB11" i="15"/>
  <c r="BB51" i="15" s="1"/>
  <c r="Q51" i="15" l="1"/>
  <c r="P51" i="15"/>
  <c r="R51" i="15" l="1"/>
  <c r="S51" i="15"/>
  <c r="U51" i="15" l="1"/>
  <c r="T51" i="15"/>
  <c r="V51" i="15" l="1"/>
  <c r="W51" i="15"/>
  <c r="Y51" i="15" l="1"/>
  <c r="X51" i="15"/>
  <c r="AA51" i="15" l="1"/>
  <c r="Z51" i="15"/>
  <c r="AC51" i="15" l="1"/>
  <c r="AB51" i="15"/>
  <c r="AD51" i="15" l="1"/>
  <c r="AE51" i="15"/>
  <c r="AG51" i="15" l="1"/>
  <c r="AF51" i="15"/>
  <c r="AK51" i="15" l="1"/>
  <c r="AH51" i="15"/>
  <c r="AJ51" i="15" l="1"/>
  <c r="AL51" i="15" l="1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G186" i="6"/>
  <c r="AF186" i="6"/>
  <c r="AE186" i="6"/>
  <c r="AD186" i="6"/>
  <c r="AC186" i="6"/>
  <c r="AB186" i="6"/>
  <c r="AA186" i="6"/>
  <c r="Z186" i="6"/>
  <c r="Y186" i="6"/>
  <c r="X186" i="6"/>
  <c r="W186" i="6"/>
  <c r="V186" i="6"/>
  <c r="U186" i="6"/>
  <c r="T186" i="6"/>
  <c r="S186" i="6"/>
  <c r="R186" i="6"/>
  <c r="Q186" i="6"/>
  <c r="P186" i="6"/>
  <c r="O186" i="6"/>
  <c r="N186" i="6"/>
  <c r="M186" i="6"/>
  <c r="L186" i="6"/>
  <c r="K186" i="6"/>
  <c r="J186" i="6"/>
  <c r="I186" i="6"/>
  <c r="H186" i="6"/>
  <c r="G186" i="6"/>
  <c r="F186" i="6"/>
  <c r="E186" i="6"/>
  <c r="D186" i="6"/>
  <c r="C186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C212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AC212" i="6"/>
  <c r="AD212" i="6"/>
  <c r="AE212" i="6"/>
  <c r="AF212" i="6"/>
  <c r="C213" i="6"/>
  <c r="D213" i="6"/>
  <c r="E213" i="6"/>
  <c r="F213" i="6"/>
  <c r="G213" i="6"/>
  <c r="H213" i="6"/>
  <c r="I213" i="6"/>
  <c r="J213" i="6"/>
  <c r="K213" i="6"/>
  <c r="L213" i="6"/>
  <c r="M213" i="6"/>
  <c r="N213" i="6"/>
  <c r="O213" i="6"/>
  <c r="P213" i="6"/>
  <c r="Q213" i="6"/>
  <c r="R213" i="6"/>
  <c r="S213" i="6"/>
  <c r="T213" i="6"/>
  <c r="U213" i="6"/>
  <c r="V213" i="6"/>
  <c r="W213" i="6"/>
  <c r="X213" i="6"/>
  <c r="Y213" i="6"/>
  <c r="Z213" i="6"/>
  <c r="AA213" i="6"/>
  <c r="AB213" i="6"/>
  <c r="AC213" i="6"/>
  <c r="AD213" i="6"/>
  <c r="AE213" i="6"/>
  <c r="AF213" i="6"/>
  <c r="C214" i="6"/>
  <c r="D214" i="6"/>
  <c r="E214" i="6"/>
  <c r="F214" i="6"/>
  <c r="G214" i="6"/>
  <c r="H214" i="6"/>
  <c r="I214" i="6"/>
  <c r="J214" i="6"/>
  <c r="K214" i="6"/>
  <c r="L214" i="6"/>
  <c r="M214" i="6"/>
  <c r="N214" i="6"/>
  <c r="O214" i="6"/>
  <c r="P214" i="6"/>
  <c r="Q214" i="6"/>
  <c r="R214" i="6"/>
  <c r="S214" i="6"/>
  <c r="T214" i="6"/>
  <c r="U214" i="6"/>
  <c r="V214" i="6"/>
  <c r="W214" i="6"/>
  <c r="X214" i="6"/>
  <c r="Y214" i="6"/>
  <c r="Z214" i="6"/>
  <c r="AA214" i="6"/>
  <c r="AB214" i="6"/>
  <c r="AC214" i="6"/>
  <c r="AD214" i="6"/>
  <c r="AE214" i="6"/>
  <c r="AF214" i="6"/>
  <c r="C215" i="6"/>
  <c r="D215" i="6"/>
  <c r="E215" i="6"/>
  <c r="F215" i="6"/>
  <c r="G215" i="6"/>
  <c r="H215" i="6"/>
  <c r="I215" i="6"/>
  <c r="J215" i="6"/>
  <c r="K21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X215" i="6"/>
  <c r="Y215" i="6"/>
  <c r="Z215" i="6"/>
  <c r="AA215" i="6"/>
  <c r="AB215" i="6"/>
  <c r="AC215" i="6"/>
  <c r="AD215" i="6"/>
  <c r="AE215" i="6"/>
  <c r="AF215" i="6"/>
  <c r="C216" i="6"/>
  <c r="D216" i="6"/>
  <c r="E216" i="6"/>
  <c r="F216" i="6"/>
  <c r="G216" i="6"/>
  <c r="H216" i="6"/>
  <c r="I216" i="6"/>
  <c r="J216" i="6"/>
  <c r="K216" i="6"/>
  <c r="L216" i="6"/>
  <c r="M216" i="6"/>
  <c r="N216" i="6"/>
  <c r="O216" i="6"/>
  <c r="P216" i="6"/>
  <c r="Q216" i="6"/>
  <c r="R216" i="6"/>
  <c r="S216" i="6"/>
  <c r="T216" i="6"/>
  <c r="U216" i="6"/>
  <c r="V216" i="6"/>
  <c r="W216" i="6"/>
  <c r="X216" i="6"/>
  <c r="Y216" i="6"/>
  <c r="Z216" i="6"/>
  <c r="AA216" i="6"/>
  <c r="AB216" i="6"/>
  <c r="AC216" i="6"/>
  <c r="AD216" i="6"/>
  <c r="AE216" i="6"/>
  <c r="AF216" i="6"/>
  <c r="C217" i="6"/>
  <c r="D217" i="6"/>
  <c r="E217" i="6"/>
  <c r="F217" i="6"/>
  <c r="G217" i="6"/>
  <c r="H217" i="6"/>
  <c r="I217" i="6"/>
  <c r="J217" i="6"/>
  <c r="K217" i="6"/>
  <c r="L217" i="6"/>
  <c r="M217" i="6"/>
  <c r="N217" i="6"/>
  <c r="O217" i="6"/>
  <c r="P217" i="6"/>
  <c r="Q217" i="6"/>
  <c r="R217" i="6"/>
  <c r="S217" i="6"/>
  <c r="T217" i="6"/>
  <c r="U217" i="6"/>
  <c r="V217" i="6"/>
  <c r="W217" i="6"/>
  <c r="X217" i="6"/>
  <c r="Y217" i="6"/>
  <c r="Z217" i="6"/>
  <c r="AA217" i="6"/>
  <c r="AB217" i="6"/>
  <c r="AC217" i="6"/>
  <c r="AD217" i="6"/>
  <c r="AE217" i="6"/>
  <c r="AF217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A218" i="6"/>
  <c r="AB218" i="6"/>
  <c r="AC218" i="6"/>
  <c r="AD218" i="6"/>
  <c r="AE218" i="6"/>
  <c r="AF218" i="6"/>
  <c r="C219" i="6"/>
  <c r="D219" i="6"/>
  <c r="E219" i="6"/>
  <c r="F219" i="6"/>
  <c r="G219" i="6"/>
  <c r="H219" i="6"/>
  <c r="I219" i="6"/>
  <c r="J219" i="6"/>
  <c r="K219" i="6"/>
  <c r="L219" i="6"/>
  <c r="M219" i="6"/>
  <c r="N219" i="6"/>
  <c r="O219" i="6"/>
  <c r="P219" i="6"/>
  <c r="Q219" i="6"/>
  <c r="R219" i="6"/>
  <c r="S219" i="6"/>
  <c r="T219" i="6"/>
  <c r="U219" i="6"/>
  <c r="V219" i="6"/>
  <c r="W219" i="6"/>
  <c r="X219" i="6"/>
  <c r="Y219" i="6"/>
  <c r="Z219" i="6"/>
  <c r="AA219" i="6"/>
  <c r="AB219" i="6"/>
  <c r="AC219" i="6"/>
  <c r="AD219" i="6"/>
  <c r="AE219" i="6"/>
  <c r="AF219" i="6"/>
  <c r="C220" i="6"/>
  <c r="D220" i="6"/>
  <c r="E220" i="6"/>
  <c r="F220" i="6"/>
  <c r="G220" i="6"/>
  <c r="H220" i="6"/>
  <c r="I220" i="6"/>
  <c r="J220" i="6"/>
  <c r="K220" i="6"/>
  <c r="L220" i="6"/>
  <c r="M220" i="6"/>
  <c r="N220" i="6"/>
  <c r="O220" i="6"/>
  <c r="P220" i="6"/>
  <c r="Q220" i="6"/>
  <c r="R220" i="6"/>
  <c r="S220" i="6"/>
  <c r="T220" i="6"/>
  <c r="U220" i="6"/>
  <c r="V220" i="6"/>
  <c r="W220" i="6"/>
  <c r="X220" i="6"/>
  <c r="Y220" i="6"/>
  <c r="Z220" i="6"/>
  <c r="AA220" i="6"/>
  <c r="AB220" i="6"/>
  <c r="AC220" i="6"/>
  <c r="AD220" i="6"/>
  <c r="AE220" i="6"/>
  <c r="AF220" i="6"/>
  <c r="C221" i="6"/>
  <c r="D221" i="6"/>
  <c r="E221" i="6"/>
  <c r="F221" i="6"/>
  <c r="G221" i="6"/>
  <c r="H221" i="6"/>
  <c r="I221" i="6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AC221" i="6"/>
  <c r="AD221" i="6"/>
  <c r="AE221" i="6"/>
  <c r="AF221" i="6"/>
  <c r="C222" i="6"/>
  <c r="D222" i="6"/>
  <c r="E222" i="6"/>
  <c r="F222" i="6"/>
  <c r="G222" i="6"/>
  <c r="H222" i="6"/>
  <c r="I222" i="6"/>
  <c r="J222" i="6"/>
  <c r="K222" i="6"/>
  <c r="L222" i="6"/>
  <c r="M222" i="6"/>
  <c r="N222" i="6"/>
  <c r="O222" i="6"/>
  <c r="P222" i="6"/>
  <c r="Q222" i="6"/>
  <c r="R222" i="6"/>
  <c r="S222" i="6"/>
  <c r="T222" i="6"/>
  <c r="U222" i="6"/>
  <c r="V222" i="6"/>
  <c r="W222" i="6"/>
  <c r="X222" i="6"/>
  <c r="Y222" i="6"/>
  <c r="Z222" i="6"/>
  <c r="AA222" i="6"/>
  <c r="AB222" i="6"/>
  <c r="AC222" i="6"/>
  <c r="AD222" i="6"/>
  <c r="AE222" i="6"/>
  <c r="AF222" i="6"/>
  <c r="C223" i="6"/>
  <c r="D223" i="6"/>
  <c r="E223" i="6"/>
  <c r="F223" i="6"/>
  <c r="G223" i="6"/>
  <c r="H223" i="6"/>
  <c r="I223" i="6"/>
  <c r="J223" i="6"/>
  <c r="K223" i="6"/>
  <c r="L223" i="6"/>
  <c r="M223" i="6"/>
  <c r="N223" i="6"/>
  <c r="O223" i="6"/>
  <c r="P223" i="6"/>
  <c r="Q223" i="6"/>
  <c r="R223" i="6"/>
  <c r="S223" i="6"/>
  <c r="T223" i="6"/>
  <c r="U223" i="6"/>
  <c r="V223" i="6"/>
  <c r="W223" i="6"/>
  <c r="X223" i="6"/>
  <c r="Y223" i="6"/>
  <c r="Z223" i="6"/>
  <c r="AA223" i="6"/>
  <c r="AB223" i="6"/>
  <c r="AC223" i="6"/>
  <c r="AD223" i="6"/>
  <c r="AE223" i="6"/>
  <c r="AF223" i="6"/>
  <c r="C224" i="6"/>
  <c r="D224" i="6"/>
  <c r="E224" i="6"/>
  <c r="F224" i="6"/>
  <c r="G224" i="6"/>
  <c r="H224" i="6"/>
  <c r="I224" i="6"/>
  <c r="J224" i="6"/>
  <c r="K224" i="6"/>
  <c r="L224" i="6"/>
  <c r="M224" i="6"/>
  <c r="N224" i="6"/>
  <c r="O224" i="6"/>
  <c r="P224" i="6"/>
  <c r="Q224" i="6"/>
  <c r="R224" i="6"/>
  <c r="S224" i="6"/>
  <c r="T224" i="6"/>
  <c r="U224" i="6"/>
  <c r="V224" i="6"/>
  <c r="W224" i="6"/>
  <c r="X224" i="6"/>
  <c r="Y224" i="6"/>
  <c r="Z224" i="6"/>
  <c r="AA224" i="6"/>
  <c r="AB224" i="6"/>
  <c r="AC224" i="6"/>
  <c r="AD224" i="6"/>
  <c r="AE224" i="6"/>
  <c r="AF224" i="6"/>
  <c r="C225" i="6"/>
  <c r="D225" i="6"/>
  <c r="E225" i="6"/>
  <c r="F225" i="6"/>
  <c r="G225" i="6"/>
  <c r="H225" i="6"/>
  <c r="I225" i="6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AA225" i="6"/>
  <c r="AB225" i="6"/>
  <c r="AC225" i="6"/>
  <c r="AD225" i="6"/>
  <c r="AE225" i="6"/>
  <c r="AF225" i="6"/>
  <c r="C226" i="6"/>
  <c r="D226" i="6"/>
  <c r="E226" i="6"/>
  <c r="F226" i="6"/>
  <c r="G226" i="6"/>
  <c r="H226" i="6"/>
  <c r="I226" i="6"/>
  <c r="J226" i="6"/>
  <c r="K226" i="6"/>
  <c r="L226" i="6"/>
  <c r="M226" i="6"/>
  <c r="N226" i="6"/>
  <c r="O226" i="6"/>
  <c r="P226" i="6"/>
  <c r="Q226" i="6"/>
  <c r="R226" i="6"/>
  <c r="S226" i="6"/>
  <c r="T226" i="6"/>
  <c r="U226" i="6"/>
  <c r="V226" i="6"/>
  <c r="W226" i="6"/>
  <c r="X226" i="6"/>
  <c r="Y226" i="6"/>
  <c r="Z226" i="6"/>
  <c r="AA226" i="6"/>
  <c r="AB226" i="6"/>
  <c r="AC226" i="6"/>
  <c r="AD226" i="6"/>
  <c r="AE226" i="6"/>
  <c r="AF226" i="6"/>
  <c r="C227" i="6"/>
  <c r="D227" i="6"/>
  <c r="E227" i="6"/>
  <c r="F227" i="6"/>
  <c r="G227" i="6"/>
  <c r="H227" i="6"/>
  <c r="I227" i="6"/>
  <c r="J227" i="6"/>
  <c r="K227" i="6"/>
  <c r="L227" i="6"/>
  <c r="M227" i="6"/>
  <c r="N227" i="6"/>
  <c r="O227" i="6"/>
  <c r="P227" i="6"/>
  <c r="Q227" i="6"/>
  <c r="R227" i="6"/>
  <c r="S227" i="6"/>
  <c r="T227" i="6"/>
  <c r="U227" i="6"/>
  <c r="V227" i="6"/>
  <c r="W227" i="6"/>
  <c r="X227" i="6"/>
  <c r="Y227" i="6"/>
  <c r="Z227" i="6"/>
  <c r="AA227" i="6"/>
  <c r="AB227" i="6"/>
  <c r="AC227" i="6"/>
  <c r="AD227" i="6"/>
  <c r="AE227" i="6"/>
  <c r="AF227" i="6"/>
  <c r="C228" i="6"/>
  <c r="D228" i="6"/>
  <c r="E228" i="6"/>
  <c r="F228" i="6"/>
  <c r="G228" i="6"/>
  <c r="H228" i="6"/>
  <c r="I228" i="6"/>
  <c r="J228" i="6"/>
  <c r="K228" i="6"/>
  <c r="L228" i="6"/>
  <c r="M228" i="6"/>
  <c r="N228" i="6"/>
  <c r="O228" i="6"/>
  <c r="P228" i="6"/>
  <c r="Q228" i="6"/>
  <c r="R228" i="6"/>
  <c r="S228" i="6"/>
  <c r="T228" i="6"/>
  <c r="U228" i="6"/>
  <c r="V228" i="6"/>
  <c r="W228" i="6"/>
  <c r="X228" i="6"/>
  <c r="Y228" i="6"/>
  <c r="Z228" i="6"/>
  <c r="AA228" i="6"/>
  <c r="AB228" i="6"/>
  <c r="AC228" i="6"/>
  <c r="AD228" i="6"/>
  <c r="AE228" i="6"/>
  <c r="AF228" i="6"/>
  <c r="C229" i="6"/>
  <c r="D229" i="6"/>
  <c r="E229" i="6"/>
  <c r="F229" i="6"/>
  <c r="G229" i="6"/>
  <c r="H229" i="6"/>
  <c r="I229" i="6"/>
  <c r="J229" i="6"/>
  <c r="K229" i="6"/>
  <c r="L229" i="6"/>
  <c r="M229" i="6"/>
  <c r="N229" i="6"/>
  <c r="O229" i="6"/>
  <c r="P229" i="6"/>
  <c r="Q229" i="6"/>
  <c r="R229" i="6"/>
  <c r="S229" i="6"/>
  <c r="T229" i="6"/>
  <c r="U229" i="6"/>
  <c r="V229" i="6"/>
  <c r="W229" i="6"/>
  <c r="X229" i="6"/>
  <c r="Y229" i="6"/>
  <c r="Z229" i="6"/>
  <c r="AA229" i="6"/>
  <c r="AB229" i="6"/>
  <c r="AC229" i="6"/>
  <c r="AD229" i="6"/>
  <c r="AE229" i="6"/>
  <c r="AF229" i="6"/>
  <c r="C230" i="6"/>
  <c r="D230" i="6"/>
  <c r="E230" i="6"/>
  <c r="F230" i="6"/>
  <c r="G230" i="6"/>
  <c r="H230" i="6"/>
  <c r="I230" i="6"/>
  <c r="J230" i="6"/>
  <c r="K230" i="6"/>
  <c r="L230" i="6"/>
  <c r="M230" i="6"/>
  <c r="N230" i="6"/>
  <c r="O230" i="6"/>
  <c r="P230" i="6"/>
  <c r="Q230" i="6"/>
  <c r="R230" i="6"/>
  <c r="S230" i="6"/>
  <c r="T230" i="6"/>
  <c r="U230" i="6"/>
  <c r="V230" i="6"/>
  <c r="W230" i="6"/>
  <c r="X230" i="6"/>
  <c r="Y230" i="6"/>
  <c r="Z230" i="6"/>
  <c r="AA230" i="6"/>
  <c r="AB230" i="6"/>
  <c r="AC230" i="6"/>
  <c r="AD230" i="6"/>
  <c r="AE230" i="6"/>
  <c r="AF230" i="6"/>
  <c r="AF211" i="6"/>
  <c r="AE211" i="6"/>
  <c r="AD211" i="6"/>
  <c r="AC211" i="6"/>
  <c r="AB211" i="6"/>
  <c r="AA211" i="6"/>
  <c r="Z211" i="6"/>
  <c r="Y211" i="6"/>
  <c r="X211" i="6"/>
  <c r="W211" i="6"/>
  <c r="V211" i="6"/>
  <c r="U211" i="6"/>
  <c r="T211" i="6"/>
  <c r="S211" i="6"/>
  <c r="R211" i="6"/>
  <c r="Q211" i="6"/>
  <c r="P211" i="6"/>
  <c r="O211" i="6"/>
  <c r="N211" i="6"/>
  <c r="M211" i="6"/>
  <c r="L211" i="6"/>
  <c r="K211" i="6"/>
  <c r="J211" i="6"/>
  <c r="I211" i="6"/>
  <c r="H211" i="6"/>
  <c r="G211" i="6"/>
  <c r="F211" i="6"/>
  <c r="E211" i="6"/>
  <c r="D211" i="6"/>
  <c r="C211" i="6"/>
  <c r="C237" i="6"/>
  <c r="D237" i="6"/>
  <c r="E237" i="6"/>
  <c r="F237" i="6"/>
  <c r="G237" i="6"/>
  <c r="H237" i="6"/>
  <c r="I237" i="6"/>
  <c r="J237" i="6"/>
  <c r="K237" i="6"/>
  <c r="L237" i="6"/>
  <c r="M237" i="6"/>
  <c r="N237" i="6"/>
  <c r="O237" i="6"/>
  <c r="P237" i="6"/>
  <c r="Q237" i="6"/>
  <c r="R237" i="6"/>
  <c r="S237" i="6"/>
  <c r="T237" i="6"/>
  <c r="U237" i="6"/>
  <c r="V237" i="6"/>
  <c r="W237" i="6"/>
  <c r="X237" i="6"/>
  <c r="Y237" i="6"/>
  <c r="Z237" i="6"/>
  <c r="AA237" i="6"/>
  <c r="AB237" i="6"/>
  <c r="AC237" i="6"/>
  <c r="AD237" i="6"/>
  <c r="AE237" i="6"/>
  <c r="AF237" i="6"/>
  <c r="AG237" i="6"/>
  <c r="C238" i="6"/>
  <c r="D238" i="6"/>
  <c r="E238" i="6"/>
  <c r="F238" i="6"/>
  <c r="G238" i="6"/>
  <c r="H238" i="6"/>
  <c r="I238" i="6"/>
  <c r="J238" i="6"/>
  <c r="K238" i="6"/>
  <c r="L238" i="6"/>
  <c r="M238" i="6"/>
  <c r="N238" i="6"/>
  <c r="O238" i="6"/>
  <c r="P238" i="6"/>
  <c r="Q238" i="6"/>
  <c r="R238" i="6"/>
  <c r="S238" i="6"/>
  <c r="T238" i="6"/>
  <c r="U238" i="6"/>
  <c r="V238" i="6"/>
  <c r="W238" i="6"/>
  <c r="X238" i="6"/>
  <c r="Y238" i="6"/>
  <c r="Z238" i="6"/>
  <c r="AA238" i="6"/>
  <c r="AB238" i="6"/>
  <c r="AC238" i="6"/>
  <c r="AD238" i="6"/>
  <c r="AE238" i="6"/>
  <c r="AF238" i="6"/>
  <c r="AG238" i="6"/>
  <c r="C239" i="6"/>
  <c r="D239" i="6"/>
  <c r="E239" i="6"/>
  <c r="F239" i="6"/>
  <c r="G239" i="6"/>
  <c r="H239" i="6"/>
  <c r="I239" i="6"/>
  <c r="J239" i="6"/>
  <c r="K239" i="6"/>
  <c r="L239" i="6"/>
  <c r="M239" i="6"/>
  <c r="N239" i="6"/>
  <c r="O239" i="6"/>
  <c r="P239" i="6"/>
  <c r="Q239" i="6"/>
  <c r="R239" i="6"/>
  <c r="S239" i="6"/>
  <c r="T239" i="6"/>
  <c r="U239" i="6"/>
  <c r="V239" i="6"/>
  <c r="W239" i="6"/>
  <c r="X239" i="6"/>
  <c r="Y239" i="6"/>
  <c r="Z239" i="6"/>
  <c r="AA239" i="6"/>
  <c r="AB239" i="6"/>
  <c r="AC239" i="6"/>
  <c r="AD239" i="6"/>
  <c r="AE239" i="6"/>
  <c r="AF239" i="6"/>
  <c r="AG239" i="6"/>
  <c r="C240" i="6"/>
  <c r="D240" i="6"/>
  <c r="E240" i="6"/>
  <c r="F240" i="6"/>
  <c r="G240" i="6"/>
  <c r="H240" i="6"/>
  <c r="I240" i="6"/>
  <c r="J240" i="6"/>
  <c r="K240" i="6"/>
  <c r="L240" i="6"/>
  <c r="M240" i="6"/>
  <c r="N240" i="6"/>
  <c r="O240" i="6"/>
  <c r="P240" i="6"/>
  <c r="Q240" i="6"/>
  <c r="R240" i="6"/>
  <c r="S240" i="6"/>
  <c r="T240" i="6"/>
  <c r="U240" i="6"/>
  <c r="V240" i="6"/>
  <c r="W240" i="6"/>
  <c r="X240" i="6"/>
  <c r="Y240" i="6"/>
  <c r="Z240" i="6"/>
  <c r="AA240" i="6"/>
  <c r="AB240" i="6"/>
  <c r="AC240" i="6"/>
  <c r="AD240" i="6"/>
  <c r="AE240" i="6"/>
  <c r="AF240" i="6"/>
  <c r="AG240" i="6"/>
  <c r="C241" i="6"/>
  <c r="D241" i="6"/>
  <c r="E241" i="6"/>
  <c r="F241" i="6"/>
  <c r="G241" i="6"/>
  <c r="H241" i="6"/>
  <c r="I241" i="6"/>
  <c r="J241" i="6"/>
  <c r="K241" i="6"/>
  <c r="L241" i="6"/>
  <c r="M241" i="6"/>
  <c r="N241" i="6"/>
  <c r="O241" i="6"/>
  <c r="P241" i="6"/>
  <c r="Q241" i="6"/>
  <c r="R241" i="6"/>
  <c r="S241" i="6"/>
  <c r="T241" i="6"/>
  <c r="U241" i="6"/>
  <c r="V241" i="6"/>
  <c r="W241" i="6"/>
  <c r="X241" i="6"/>
  <c r="Y241" i="6"/>
  <c r="Z241" i="6"/>
  <c r="AA241" i="6"/>
  <c r="AB241" i="6"/>
  <c r="AC241" i="6"/>
  <c r="AD241" i="6"/>
  <c r="AE241" i="6"/>
  <c r="AF241" i="6"/>
  <c r="AG241" i="6"/>
  <c r="C242" i="6"/>
  <c r="D242" i="6"/>
  <c r="E242" i="6"/>
  <c r="F242" i="6"/>
  <c r="G242" i="6"/>
  <c r="H242" i="6"/>
  <c r="I242" i="6"/>
  <c r="J242" i="6"/>
  <c r="K242" i="6"/>
  <c r="L242" i="6"/>
  <c r="M242" i="6"/>
  <c r="N242" i="6"/>
  <c r="O242" i="6"/>
  <c r="P242" i="6"/>
  <c r="Q242" i="6"/>
  <c r="R242" i="6"/>
  <c r="S242" i="6"/>
  <c r="T242" i="6"/>
  <c r="U242" i="6"/>
  <c r="V242" i="6"/>
  <c r="W242" i="6"/>
  <c r="X242" i="6"/>
  <c r="Y242" i="6"/>
  <c r="Z242" i="6"/>
  <c r="AA242" i="6"/>
  <c r="AB242" i="6"/>
  <c r="AC242" i="6"/>
  <c r="AD242" i="6"/>
  <c r="AE242" i="6"/>
  <c r="AF242" i="6"/>
  <c r="AG242" i="6"/>
  <c r="C243" i="6"/>
  <c r="D243" i="6"/>
  <c r="E243" i="6"/>
  <c r="F243" i="6"/>
  <c r="G243" i="6"/>
  <c r="H243" i="6"/>
  <c r="I243" i="6"/>
  <c r="J243" i="6"/>
  <c r="K243" i="6"/>
  <c r="L243" i="6"/>
  <c r="M243" i="6"/>
  <c r="N243" i="6"/>
  <c r="O243" i="6"/>
  <c r="P243" i="6"/>
  <c r="Q243" i="6"/>
  <c r="R243" i="6"/>
  <c r="S243" i="6"/>
  <c r="T243" i="6"/>
  <c r="U243" i="6"/>
  <c r="V243" i="6"/>
  <c r="W243" i="6"/>
  <c r="X243" i="6"/>
  <c r="Y243" i="6"/>
  <c r="Z243" i="6"/>
  <c r="AA243" i="6"/>
  <c r="AB243" i="6"/>
  <c r="AC243" i="6"/>
  <c r="AD243" i="6"/>
  <c r="AE243" i="6"/>
  <c r="AF243" i="6"/>
  <c r="AG243" i="6"/>
  <c r="C244" i="6"/>
  <c r="D244" i="6"/>
  <c r="E244" i="6"/>
  <c r="F244" i="6"/>
  <c r="G244" i="6"/>
  <c r="H244" i="6"/>
  <c r="I244" i="6"/>
  <c r="J244" i="6"/>
  <c r="K244" i="6"/>
  <c r="L244" i="6"/>
  <c r="M244" i="6"/>
  <c r="N244" i="6"/>
  <c r="O244" i="6"/>
  <c r="P244" i="6"/>
  <c r="Q244" i="6"/>
  <c r="R244" i="6"/>
  <c r="S244" i="6"/>
  <c r="T244" i="6"/>
  <c r="U244" i="6"/>
  <c r="V244" i="6"/>
  <c r="W244" i="6"/>
  <c r="X244" i="6"/>
  <c r="Y244" i="6"/>
  <c r="Z244" i="6"/>
  <c r="AA244" i="6"/>
  <c r="AB244" i="6"/>
  <c r="AC244" i="6"/>
  <c r="AD244" i="6"/>
  <c r="AE244" i="6"/>
  <c r="AF244" i="6"/>
  <c r="AG244" i="6"/>
  <c r="C245" i="6"/>
  <c r="D245" i="6"/>
  <c r="E245" i="6"/>
  <c r="F245" i="6"/>
  <c r="G245" i="6"/>
  <c r="H245" i="6"/>
  <c r="I245" i="6"/>
  <c r="J245" i="6"/>
  <c r="K245" i="6"/>
  <c r="L245" i="6"/>
  <c r="M245" i="6"/>
  <c r="N245" i="6"/>
  <c r="O245" i="6"/>
  <c r="P245" i="6"/>
  <c r="Q245" i="6"/>
  <c r="R245" i="6"/>
  <c r="S245" i="6"/>
  <c r="T245" i="6"/>
  <c r="U245" i="6"/>
  <c r="V245" i="6"/>
  <c r="W245" i="6"/>
  <c r="X245" i="6"/>
  <c r="Y245" i="6"/>
  <c r="Z245" i="6"/>
  <c r="AA245" i="6"/>
  <c r="AB245" i="6"/>
  <c r="AC245" i="6"/>
  <c r="AD245" i="6"/>
  <c r="AE245" i="6"/>
  <c r="AF245" i="6"/>
  <c r="AG245" i="6"/>
  <c r="C246" i="6"/>
  <c r="D246" i="6"/>
  <c r="E246" i="6"/>
  <c r="F246" i="6"/>
  <c r="G246" i="6"/>
  <c r="H246" i="6"/>
  <c r="I246" i="6"/>
  <c r="J246" i="6"/>
  <c r="K246" i="6"/>
  <c r="L246" i="6"/>
  <c r="M246" i="6"/>
  <c r="N246" i="6"/>
  <c r="O246" i="6"/>
  <c r="P246" i="6"/>
  <c r="Q246" i="6"/>
  <c r="R246" i="6"/>
  <c r="S246" i="6"/>
  <c r="T246" i="6"/>
  <c r="U246" i="6"/>
  <c r="V246" i="6"/>
  <c r="W246" i="6"/>
  <c r="X246" i="6"/>
  <c r="Y246" i="6"/>
  <c r="Z246" i="6"/>
  <c r="AA246" i="6"/>
  <c r="AB246" i="6"/>
  <c r="AC246" i="6"/>
  <c r="AD246" i="6"/>
  <c r="AE246" i="6"/>
  <c r="AF246" i="6"/>
  <c r="AG246" i="6"/>
  <c r="C247" i="6"/>
  <c r="D247" i="6"/>
  <c r="E247" i="6"/>
  <c r="F247" i="6"/>
  <c r="G247" i="6"/>
  <c r="H247" i="6"/>
  <c r="I247" i="6"/>
  <c r="J247" i="6"/>
  <c r="K247" i="6"/>
  <c r="L247" i="6"/>
  <c r="M247" i="6"/>
  <c r="N247" i="6"/>
  <c r="O247" i="6"/>
  <c r="P247" i="6"/>
  <c r="Q247" i="6"/>
  <c r="R247" i="6"/>
  <c r="S247" i="6"/>
  <c r="T247" i="6"/>
  <c r="U247" i="6"/>
  <c r="V247" i="6"/>
  <c r="W247" i="6"/>
  <c r="X247" i="6"/>
  <c r="Y247" i="6"/>
  <c r="Z247" i="6"/>
  <c r="AA247" i="6"/>
  <c r="AB247" i="6"/>
  <c r="AC247" i="6"/>
  <c r="AD247" i="6"/>
  <c r="AE247" i="6"/>
  <c r="AF247" i="6"/>
  <c r="AG247" i="6"/>
  <c r="C248" i="6"/>
  <c r="D248" i="6"/>
  <c r="E248" i="6"/>
  <c r="F248" i="6"/>
  <c r="G248" i="6"/>
  <c r="H248" i="6"/>
  <c r="I248" i="6"/>
  <c r="J248" i="6"/>
  <c r="K248" i="6"/>
  <c r="L248" i="6"/>
  <c r="M248" i="6"/>
  <c r="N248" i="6"/>
  <c r="O248" i="6"/>
  <c r="P248" i="6"/>
  <c r="Q248" i="6"/>
  <c r="R248" i="6"/>
  <c r="S248" i="6"/>
  <c r="T248" i="6"/>
  <c r="U248" i="6"/>
  <c r="V248" i="6"/>
  <c r="W248" i="6"/>
  <c r="X248" i="6"/>
  <c r="Y248" i="6"/>
  <c r="Z248" i="6"/>
  <c r="AA248" i="6"/>
  <c r="AB248" i="6"/>
  <c r="AC248" i="6"/>
  <c r="AD248" i="6"/>
  <c r="AE248" i="6"/>
  <c r="AF248" i="6"/>
  <c r="AG248" i="6"/>
  <c r="C249" i="6"/>
  <c r="D249" i="6"/>
  <c r="E249" i="6"/>
  <c r="F249" i="6"/>
  <c r="G249" i="6"/>
  <c r="H249" i="6"/>
  <c r="I249" i="6"/>
  <c r="J249" i="6"/>
  <c r="K249" i="6"/>
  <c r="L249" i="6"/>
  <c r="M249" i="6"/>
  <c r="N249" i="6"/>
  <c r="O249" i="6"/>
  <c r="P249" i="6"/>
  <c r="Q249" i="6"/>
  <c r="R249" i="6"/>
  <c r="S249" i="6"/>
  <c r="T249" i="6"/>
  <c r="U249" i="6"/>
  <c r="V249" i="6"/>
  <c r="W249" i="6"/>
  <c r="X249" i="6"/>
  <c r="Y249" i="6"/>
  <c r="Z249" i="6"/>
  <c r="AA249" i="6"/>
  <c r="AB249" i="6"/>
  <c r="AC249" i="6"/>
  <c r="AD249" i="6"/>
  <c r="AE249" i="6"/>
  <c r="AF249" i="6"/>
  <c r="AG249" i="6"/>
  <c r="C250" i="6"/>
  <c r="D250" i="6"/>
  <c r="E250" i="6"/>
  <c r="F250" i="6"/>
  <c r="G250" i="6"/>
  <c r="H250" i="6"/>
  <c r="I250" i="6"/>
  <c r="J250" i="6"/>
  <c r="K250" i="6"/>
  <c r="L250" i="6"/>
  <c r="M250" i="6"/>
  <c r="N250" i="6"/>
  <c r="O250" i="6"/>
  <c r="P250" i="6"/>
  <c r="Q250" i="6"/>
  <c r="R250" i="6"/>
  <c r="S250" i="6"/>
  <c r="T250" i="6"/>
  <c r="U250" i="6"/>
  <c r="V250" i="6"/>
  <c r="W250" i="6"/>
  <c r="X250" i="6"/>
  <c r="Y250" i="6"/>
  <c r="Z250" i="6"/>
  <c r="AA250" i="6"/>
  <c r="AB250" i="6"/>
  <c r="AC250" i="6"/>
  <c r="AD250" i="6"/>
  <c r="AE250" i="6"/>
  <c r="AF250" i="6"/>
  <c r="AG250" i="6"/>
  <c r="C251" i="6"/>
  <c r="D251" i="6"/>
  <c r="E251" i="6"/>
  <c r="F251" i="6"/>
  <c r="G251" i="6"/>
  <c r="H251" i="6"/>
  <c r="I251" i="6"/>
  <c r="J251" i="6"/>
  <c r="K251" i="6"/>
  <c r="L251" i="6"/>
  <c r="M251" i="6"/>
  <c r="N251" i="6"/>
  <c r="O251" i="6"/>
  <c r="P251" i="6"/>
  <c r="Q251" i="6"/>
  <c r="R251" i="6"/>
  <c r="S251" i="6"/>
  <c r="T251" i="6"/>
  <c r="U251" i="6"/>
  <c r="V251" i="6"/>
  <c r="W251" i="6"/>
  <c r="X251" i="6"/>
  <c r="Y251" i="6"/>
  <c r="Z251" i="6"/>
  <c r="AA251" i="6"/>
  <c r="AB251" i="6"/>
  <c r="AC251" i="6"/>
  <c r="AD251" i="6"/>
  <c r="AE251" i="6"/>
  <c r="AF251" i="6"/>
  <c r="AG251" i="6"/>
  <c r="C252" i="6"/>
  <c r="D252" i="6"/>
  <c r="E252" i="6"/>
  <c r="F252" i="6"/>
  <c r="G252" i="6"/>
  <c r="H252" i="6"/>
  <c r="I252" i="6"/>
  <c r="J252" i="6"/>
  <c r="K252" i="6"/>
  <c r="L252" i="6"/>
  <c r="M252" i="6"/>
  <c r="N252" i="6"/>
  <c r="O252" i="6"/>
  <c r="P252" i="6"/>
  <c r="Q252" i="6"/>
  <c r="R252" i="6"/>
  <c r="S252" i="6"/>
  <c r="T252" i="6"/>
  <c r="U252" i="6"/>
  <c r="V252" i="6"/>
  <c r="W252" i="6"/>
  <c r="X252" i="6"/>
  <c r="Y252" i="6"/>
  <c r="Z252" i="6"/>
  <c r="AA252" i="6"/>
  <c r="AB252" i="6"/>
  <c r="AC252" i="6"/>
  <c r="AD252" i="6"/>
  <c r="AE252" i="6"/>
  <c r="AF252" i="6"/>
  <c r="AG252" i="6"/>
  <c r="C253" i="6"/>
  <c r="D253" i="6"/>
  <c r="E253" i="6"/>
  <c r="F253" i="6"/>
  <c r="G253" i="6"/>
  <c r="H253" i="6"/>
  <c r="I253" i="6"/>
  <c r="J253" i="6"/>
  <c r="K253" i="6"/>
  <c r="L253" i="6"/>
  <c r="M253" i="6"/>
  <c r="N253" i="6"/>
  <c r="O253" i="6"/>
  <c r="P253" i="6"/>
  <c r="Q253" i="6"/>
  <c r="R253" i="6"/>
  <c r="S253" i="6"/>
  <c r="T253" i="6"/>
  <c r="U253" i="6"/>
  <c r="V253" i="6"/>
  <c r="W253" i="6"/>
  <c r="X253" i="6"/>
  <c r="Y253" i="6"/>
  <c r="Z253" i="6"/>
  <c r="AA253" i="6"/>
  <c r="AB253" i="6"/>
  <c r="AC253" i="6"/>
  <c r="AD253" i="6"/>
  <c r="AE253" i="6"/>
  <c r="AF253" i="6"/>
  <c r="AG253" i="6"/>
  <c r="C254" i="6"/>
  <c r="D254" i="6"/>
  <c r="E254" i="6"/>
  <c r="F254" i="6"/>
  <c r="G254" i="6"/>
  <c r="H254" i="6"/>
  <c r="I254" i="6"/>
  <c r="J254" i="6"/>
  <c r="K254" i="6"/>
  <c r="L254" i="6"/>
  <c r="M254" i="6"/>
  <c r="N254" i="6"/>
  <c r="O254" i="6"/>
  <c r="P254" i="6"/>
  <c r="Q254" i="6"/>
  <c r="R254" i="6"/>
  <c r="S254" i="6"/>
  <c r="T254" i="6"/>
  <c r="U254" i="6"/>
  <c r="V254" i="6"/>
  <c r="W254" i="6"/>
  <c r="X254" i="6"/>
  <c r="Y254" i="6"/>
  <c r="Z254" i="6"/>
  <c r="AA254" i="6"/>
  <c r="AB254" i="6"/>
  <c r="AC254" i="6"/>
  <c r="AD254" i="6"/>
  <c r="AE254" i="6"/>
  <c r="AF254" i="6"/>
  <c r="AG254" i="6"/>
  <c r="C255" i="6"/>
  <c r="D255" i="6"/>
  <c r="E255" i="6"/>
  <c r="F255" i="6"/>
  <c r="G255" i="6"/>
  <c r="H255" i="6"/>
  <c r="I255" i="6"/>
  <c r="J255" i="6"/>
  <c r="K255" i="6"/>
  <c r="L255" i="6"/>
  <c r="M255" i="6"/>
  <c r="N255" i="6"/>
  <c r="O255" i="6"/>
  <c r="P255" i="6"/>
  <c r="Q255" i="6"/>
  <c r="R255" i="6"/>
  <c r="S255" i="6"/>
  <c r="T255" i="6"/>
  <c r="U255" i="6"/>
  <c r="V255" i="6"/>
  <c r="W255" i="6"/>
  <c r="X255" i="6"/>
  <c r="Y255" i="6"/>
  <c r="Z255" i="6"/>
  <c r="AA255" i="6"/>
  <c r="AB255" i="6"/>
  <c r="AC255" i="6"/>
  <c r="AD255" i="6"/>
  <c r="AE255" i="6"/>
  <c r="AF255" i="6"/>
  <c r="AG255" i="6"/>
  <c r="AG236" i="6"/>
  <c r="AF236" i="6"/>
  <c r="AE236" i="6"/>
  <c r="AD236" i="6"/>
  <c r="AC236" i="6"/>
  <c r="AB236" i="6"/>
  <c r="AA236" i="6"/>
  <c r="Z236" i="6"/>
  <c r="Y236" i="6"/>
  <c r="X236" i="6"/>
  <c r="W236" i="6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E236" i="6"/>
  <c r="D236" i="6"/>
  <c r="C236" i="6"/>
  <c r="C262" i="6"/>
  <c r="D262" i="6"/>
  <c r="E262" i="6"/>
  <c r="F262" i="6"/>
  <c r="G262" i="6"/>
  <c r="H262" i="6"/>
  <c r="I262" i="6"/>
  <c r="J262" i="6"/>
  <c r="K262" i="6"/>
  <c r="L262" i="6"/>
  <c r="M262" i="6"/>
  <c r="N262" i="6"/>
  <c r="O262" i="6"/>
  <c r="P262" i="6"/>
  <c r="Q262" i="6"/>
  <c r="R262" i="6"/>
  <c r="S262" i="6"/>
  <c r="T262" i="6"/>
  <c r="U262" i="6"/>
  <c r="V262" i="6"/>
  <c r="W262" i="6"/>
  <c r="X262" i="6"/>
  <c r="Y262" i="6"/>
  <c r="Z262" i="6"/>
  <c r="AA262" i="6"/>
  <c r="AB262" i="6"/>
  <c r="AC262" i="6"/>
  <c r="AD262" i="6"/>
  <c r="AE262" i="6"/>
  <c r="AF262" i="6"/>
  <c r="C263" i="6"/>
  <c r="D263" i="6"/>
  <c r="E263" i="6"/>
  <c r="F263" i="6"/>
  <c r="G263" i="6"/>
  <c r="H263" i="6"/>
  <c r="I263" i="6"/>
  <c r="J263" i="6"/>
  <c r="K263" i="6"/>
  <c r="L263" i="6"/>
  <c r="M263" i="6"/>
  <c r="N263" i="6"/>
  <c r="O263" i="6"/>
  <c r="P263" i="6"/>
  <c r="Q263" i="6"/>
  <c r="R263" i="6"/>
  <c r="S263" i="6"/>
  <c r="T263" i="6"/>
  <c r="U263" i="6"/>
  <c r="V263" i="6"/>
  <c r="W263" i="6"/>
  <c r="X263" i="6"/>
  <c r="Y263" i="6"/>
  <c r="Z263" i="6"/>
  <c r="AA263" i="6"/>
  <c r="AB263" i="6"/>
  <c r="AC263" i="6"/>
  <c r="AD263" i="6"/>
  <c r="AE263" i="6"/>
  <c r="AF263" i="6"/>
  <c r="C264" i="6"/>
  <c r="D264" i="6"/>
  <c r="E264" i="6"/>
  <c r="F264" i="6"/>
  <c r="G264" i="6"/>
  <c r="H264" i="6"/>
  <c r="I264" i="6"/>
  <c r="J264" i="6"/>
  <c r="K264" i="6"/>
  <c r="L264" i="6"/>
  <c r="M264" i="6"/>
  <c r="N264" i="6"/>
  <c r="O264" i="6"/>
  <c r="P264" i="6"/>
  <c r="Q264" i="6"/>
  <c r="R264" i="6"/>
  <c r="S264" i="6"/>
  <c r="T264" i="6"/>
  <c r="U264" i="6"/>
  <c r="V264" i="6"/>
  <c r="W264" i="6"/>
  <c r="X264" i="6"/>
  <c r="Y264" i="6"/>
  <c r="Z264" i="6"/>
  <c r="AA264" i="6"/>
  <c r="AB264" i="6"/>
  <c r="AC264" i="6"/>
  <c r="AD264" i="6"/>
  <c r="AE264" i="6"/>
  <c r="AF264" i="6"/>
  <c r="C265" i="6"/>
  <c r="D265" i="6"/>
  <c r="E265" i="6"/>
  <c r="F265" i="6"/>
  <c r="G265" i="6"/>
  <c r="H265" i="6"/>
  <c r="I265" i="6"/>
  <c r="J265" i="6"/>
  <c r="K265" i="6"/>
  <c r="L265" i="6"/>
  <c r="M265" i="6"/>
  <c r="N265" i="6"/>
  <c r="O265" i="6"/>
  <c r="P265" i="6"/>
  <c r="Q265" i="6"/>
  <c r="R265" i="6"/>
  <c r="S265" i="6"/>
  <c r="T265" i="6"/>
  <c r="U265" i="6"/>
  <c r="V265" i="6"/>
  <c r="W265" i="6"/>
  <c r="X265" i="6"/>
  <c r="Y265" i="6"/>
  <c r="Z265" i="6"/>
  <c r="AA265" i="6"/>
  <c r="AB265" i="6"/>
  <c r="AC265" i="6"/>
  <c r="AD265" i="6"/>
  <c r="AE265" i="6"/>
  <c r="AF265" i="6"/>
  <c r="C266" i="6"/>
  <c r="D266" i="6"/>
  <c r="E266" i="6"/>
  <c r="F266" i="6"/>
  <c r="G266" i="6"/>
  <c r="H266" i="6"/>
  <c r="I266" i="6"/>
  <c r="J266" i="6"/>
  <c r="K266" i="6"/>
  <c r="L266" i="6"/>
  <c r="M266" i="6"/>
  <c r="N266" i="6"/>
  <c r="O266" i="6"/>
  <c r="P266" i="6"/>
  <c r="Q266" i="6"/>
  <c r="R266" i="6"/>
  <c r="S266" i="6"/>
  <c r="T266" i="6"/>
  <c r="U266" i="6"/>
  <c r="V266" i="6"/>
  <c r="W266" i="6"/>
  <c r="X266" i="6"/>
  <c r="Y266" i="6"/>
  <c r="Z266" i="6"/>
  <c r="AA266" i="6"/>
  <c r="AB266" i="6"/>
  <c r="AC266" i="6"/>
  <c r="AD266" i="6"/>
  <c r="AE266" i="6"/>
  <c r="AF266" i="6"/>
  <c r="C267" i="6"/>
  <c r="D267" i="6"/>
  <c r="E267" i="6"/>
  <c r="F267" i="6"/>
  <c r="G267" i="6"/>
  <c r="H267" i="6"/>
  <c r="I267" i="6"/>
  <c r="J267" i="6"/>
  <c r="K267" i="6"/>
  <c r="L267" i="6"/>
  <c r="M267" i="6"/>
  <c r="N267" i="6"/>
  <c r="O267" i="6"/>
  <c r="P267" i="6"/>
  <c r="Q267" i="6"/>
  <c r="R267" i="6"/>
  <c r="S267" i="6"/>
  <c r="T267" i="6"/>
  <c r="U267" i="6"/>
  <c r="V267" i="6"/>
  <c r="W267" i="6"/>
  <c r="X267" i="6"/>
  <c r="Y267" i="6"/>
  <c r="Z267" i="6"/>
  <c r="AA267" i="6"/>
  <c r="AB267" i="6"/>
  <c r="AC267" i="6"/>
  <c r="AD267" i="6"/>
  <c r="AE267" i="6"/>
  <c r="AF267" i="6"/>
  <c r="C268" i="6"/>
  <c r="D268" i="6"/>
  <c r="E268" i="6"/>
  <c r="F268" i="6"/>
  <c r="G268" i="6"/>
  <c r="H268" i="6"/>
  <c r="I268" i="6"/>
  <c r="J268" i="6"/>
  <c r="K268" i="6"/>
  <c r="L268" i="6"/>
  <c r="M268" i="6"/>
  <c r="N268" i="6"/>
  <c r="O268" i="6"/>
  <c r="P268" i="6"/>
  <c r="Q268" i="6"/>
  <c r="R268" i="6"/>
  <c r="S268" i="6"/>
  <c r="T268" i="6"/>
  <c r="U268" i="6"/>
  <c r="V268" i="6"/>
  <c r="W268" i="6"/>
  <c r="X268" i="6"/>
  <c r="Y268" i="6"/>
  <c r="Z268" i="6"/>
  <c r="AA268" i="6"/>
  <c r="AB268" i="6"/>
  <c r="AC268" i="6"/>
  <c r="AD268" i="6"/>
  <c r="AE268" i="6"/>
  <c r="AF268" i="6"/>
  <c r="C269" i="6"/>
  <c r="D269" i="6"/>
  <c r="E269" i="6"/>
  <c r="F269" i="6"/>
  <c r="G269" i="6"/>
  <c r="H269" i="6"/>
  <c r="I269" i="6"/>
  <c r="J269" i="6"/>
  <c r="K269" i="6"/>
  <c r="L269" i="6"/>
  <c r="M269" i="6"/>
  <c r="N269" i="6"/>
  <c r="O269" i="6"/>
  <c r="P269" i="6"/>
  <c r="Q269" i="6"/>
  <c r="R269" i="6"/>
  <c r="S269" i="6"/>
  <c r="T269" i="6"/>
  <c r="U269" i="6"/>
  <c r="V269" i="6"/>
  <c r="W269" i="6"/>
  <c r="X269" i="6"/>
  <c r="Y269" i="6"/>
  <c r="Z269" i="6"/>
  <c r="AA269" i="6"/>
  <c r="AB269" i="6"/>
  <c r="AC269" i="6"/>
  <c r="AD269" i="6"/>
  <c r="AE269" i="6"/>
  <c r="AF269" i="6"/>
  <c r="C270" i="6"/>
  <c r="D270" i="6"/>
  <c r="E270" i="6"/>
  <c r="F270" i="6"/>
  <c r="G270" i="6"/>
  <c r="H270" i="6"/>
  <c r="I270" i="6"/>
  <c r="J270" i="6"/>
  <c r="K270" i="6"/>
  <c r="L270" i="6"/>
  <c r="M270" i="6"/>
  <c r="N270" i="6"/>
  <c r="O270" i="6"/>
  <c r="P270" i="6"/>
  <c r="Q270" i="6"/>
  <c r="R270" i="6"/>
  <c r="S270" i="6"/>
  <c r="T270" i="6"/>
  <c r="U270" i="6"/>
  <c r="V270" i="6"/>
  <c r="W270" i="6"/>
  <c r="X270" i="6"/>
  <c r="Y270" i="6"/>
  <c r="Z270" i="6"/>
  <c r="AA270" i="6"/>
  <c r="AB270" i="6"/>
  <c r="AC270" i="6"/>
  <c r="AD270" i="6"/>
  <c r="AE270" i="6"/>
  <c r="AF270" i="6"/>
  <c r="C271" i="6"/>
  <c r="D271" i="6"/>
  <c r="E271" i="6"/>
  <c r="F271" i="6"/>
  <c r="G271" i="6"/>
  <c r="H271" i="6"/>
  <c r="I271" i="6"/>
  <c r="J271" i="6"/>
  <c r="K271" i="6"/>
  <c r="L271" i="6"/>
  <c r="M271" i="6"/>
  <c r="N271" i="6"/>
  <c r="O271" i="6"/>
  <c r="P271" i="6"/>
  <c r="Q271" i="6"/>
  <c r="R271" i="6"/>
  <c r="S271" i="6"/>
  <c r="T271" i="6"/>
  <c r="U271" i="6"/>
  <c r="V271" i="6"/>
  <c r="W271" i="6"/>
  <c r="X271" i="6"/>
  <c r="Y271" i="6"/>
  <c r="Z271" i="6"/>
  <c r="AA271" i="6"/>
  <c r="AB271" i="6"/>
  <c r="AC271" i="6"/>
  <c r="AD271" i="6"/>
  <c r="AE271" i="6"/>
  <c r="AF271" i="6"/>
  <c r="C272" i="6"/>
  <c r="D272" i="6"/>
  <c r="E272" i="6"/>
  <c r="F272" i="6"/>
  <c r="G272" i="6"/>
  <c r="H272" i="6"/>
  <c r="I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W272" i="6"/>
  <c r="X272" i="6"/>
  <c r="Y272" i="6"/>
  <c r="Z272" i="6"/>
  <c r="AA272" i="6"/>
  <c r="AB272" i="6"/>
  <c r="AC272" i="6"/>
  <c r="AD272" i="6"/>
  <c r="AE272" i="6"/>
  <c r="AF272" i="6"/>
  <c r="C273" i="6"/>
  <c r="D273" i="6"/>
  <c r="E273" i="6"/>
  <c r="F273" i="6"/>
  <c r="G273" i="6"/>
  <c r="H273" i="6"/>
  <c r="I273" i="6"/>
  <c r="J273" i="6"/>
  <c r="K273" i="6"/>
  <c r="L273" i="6"/>
  <c r="M273" i="6"/>
  <c r="N273" i="6"/>
  <c r="O273" i="6"/>
  <c r="P273" i="6"/>
  <c r="Q273" i="6"/>
  <c r="R273" i="6"/>
  <c r="S273" i="6"/>
  <c r="T273" i="6"/>
  <c r="U273" i="6"/>
  <c r="V273" i="6"/>
  <c r="W273" i="6"/>
  <c r="X273" i="6"/>
  <c r="Y273" i="6"/>
  <c r="Z273" i="6"/>
  <c r="AA273" i="6"/>
  <c r="AB273" i="6"/>
  <c r="AC273" i="6"/>
  <c r="AD273" i="6"/>
  <c r="AE273" i="6"/>
  <c r="AF273" i="6"/>
  <c r="C274" i="6"/>
  <c r="D274" i="6"/>
  <c r="E274" i="6"/>
  <c r="F274" i="6"/>
  <c r="G274" i="6"/>
  <c r="H274" i="6"/>
  <c r="I274" i="6"/>
  <c r="J274" i="6"/>
  <c r="K274" i="6"/>
  <c r="L274" i="6"/>
  <c r="M274" i="6"/>
  <c r="N274" i="6"/>
  <c r="O274" i="6"/>
  <c r="P274" i="6"/>
  <c r="Q274" i="6"/>
  <c r="R274" i="6"/>
  <c r="S274" i="6"/>
  <c r="T274" i="6"/>
  <c r="U274" i="6"/>
  <c r="V274" i="6"/>
  <c r="W274" i="6"/>
  <c r="X274" i="6"/>
  <c r="Y274" i="6"/>
  <c r="Z274" i="6"/>
  <c r="AA274" i="6"/>
  <c r="AB274" i="6"/>
  <c r="AC274" i="6"/>
  <c r="AD274" i="6"/>
  <c r="AE274" i="6"/>
  <c r="AF274" i="6"/>
  <c r="C275" i="6"/>
  <c r="D275" i="6"/>
  <c r="E275" i="6"/>
  <c r="F275" i="6"/>
  <c r="G275" i="6"/>
  <c r="H275" i="6"/>
  <c r="I275" i="6"/>
  <c r="J275" i="6"/>
  <c r="K275" i="6"/>
  <c r="L275" i="6"/>
  <c r="M275" i="6"/>
  <c r="N275" i="6"/>
  <c r="O275" i="6"/>
  <c r="P275" i="6"/>
  <c r="Q275" i="6"/>
  <c r="R275" i="6"/>
  <c r="S275" i="6"/>
  <c r="T275" i="6"/>
  <c r="U275" i="6"/>
  <c r="V275" i="6"/>
  <c r="W275" i="6"/>
  <c r="X275" i="6"/>
  <c r="Y275" i="6"/>
  <c r="Z275" i="6"/>
  <c r="AA275" i="6"/>
  <c r="AB275" i="6"/>
  <c r="AC275" i="6"/>
  <c r="AD275" i="6"/>
  <c r="AE275" i="6"/>
  <c r="AF275" i="6"/>
  <c r="C276" i="6"/>
  <c r="D276" i="6"/>
  <c r="E276" i="6"/>
  <c r="F276" i="6"/>
  <c r="G276" i="6"/>
  <c r="H276" i="6"/>
  <c r="I276" i="6"/>
  <c r="J276" i="6"/>
  <c r="K276" i="6"/>
  <c r="L276" i="6"/>
  <c r="M276" i="6"/>
  <c r="N276" i="6"/>
  <c r="O276" i="6"/>
  <c r="P276" i="6"/>
  <c r="Q276" i="6"/>
  <c r="R276" i="6"/>
  <c r="S276" i="6"/>
  <c r="T276" i="6"/>
  <c r="U276" i="6"/>
  <c r="V276" i="6"/>
  <c r="W276" i="6"/>
  <c r="X276" i="6"/>
  <c r="Y276" i="6"/>
  <c r="Z276" i="6"/>
  <c r="AA276" i="6"/>
  <c r="AB276" i="6"/>
  <c r="AC276" i="6"/>
  <c r="AD276" i="6"/>
  <c r="AE276" i="6"/>
  <c r="AF276" i="6"/>
  <c r="C277" i="6"/>
  <c r="D277" i="6"/>
  <c r="E277" i="6"/>
  <c r="F277" i="6"/>
  <c r="G277" i="6"/>
  <c r="H277" i="6"/>
  <c r="I277" i="6"/>
  <c r="J277" i="6"/>
  <c r="K277" i="6"/>
  <c r="L277" i="6"/>
  <c r="M277" i="6"/>
  <c r="N277" i="6"/>
  <c r="O277" i="6"/>
  <c r="P277" i="6"/>
  <c r="Q277" i="6"/>
  <c r="R277" i="6"/>
  <c r="S277" i="6"/>
  <c r="T277" i="6"/>
  <c r="U277" i="6"/>
  <c r="V277" i="6"/>
  <c r="W277" i="6"/>
  <c r="X277" i="6"/>
  <c r="Y277" i="6"/>
  <c r="Z277" i="6"/>
  <c r="AA277" i="6"/>
  <c r="AB277" i="6"/>
  <c r="AC277" i="6"/>
  <c r="AD277" i="6"/>
  <c r="AE277" i="6"/>
  <c r="AF277" i="6"/>
  <c r="C278" i="6"/>
  <c r="D278" i="6"/>
  <c r="E278" i="6"/>
  <c r="F278" i="6"/>
  <c r="G278" i="6"/>
  <c r="H278" i="6"/>
  <c r="I278" i="6"/>
  <c r="J278" i="6"/>
  <c r="K278" i="6"/>
  <c r="L278" i="6"/>
  <c r="M278" i="6"/>
  <c r="N278" i="6"/>
  <c r="O278" i="6"/>
  <c r="P278" i="6"/>
  <c r="Q278" i="6"/>
  <c r="R278" i="6"/>
  <c r="S278" i="6"/>
  <c r="T278" i="6"/>
  <c r="U278" i="6"/>
  <c r="V278" i="6"/>
  <c r="W278" i="6"/>
  <c r="X278" i="6"/>
  <c r="Y278" i="6"/>
  <c r="Z278" i="6"/>
  <c r="AA278" i="6"/>
  <c r="AB278" i="6"/>
  <c r="AC278" i="6"/>
  <c r="AD278" i="6"/>
  <c r="AE278" i="6"/>
  <c r="AF278" i="6"/>
  <c r="C279" i="6"/>
  <c r="D279" i="6"/>
  <c r="E279" i="6"/>
  <c r="F279" i="6"/>
  <c r="G279" i="6"/>
  <c r="H279" i="6"/>
  <c r="I279" i="6"/>
  <c r="J279" i="6"/>
  <c r="K279" i="6"/>
  <c r="L279" i="6"/>
  <c r="M279" i="6"/>
  <c r="N279" i="6"/>
  <c r="O279" i="6"/>
  <c r="P279" i="6"/>
  <c r="Q279" i="6"/>
  <c r="R279" i="6"/>
  <c r="S279" i="6"/>
  <c r="T279" i="6"/>
  <c r="U279" i="6"/>
  <c r="V279" i="6"/>
  <c r="W279" i="6"/>
  <c r="X279" i="6"/>
  <c r="Y279" i="6"/>
  <c r="Z279" i="6"/>
  <c r="AA279" i="6"/>
  <c r="AB279" i="6"/>
  <c r="AC279" i="6"/>
  <c r="AD279" i="6"/>
  <c r="AE279" i="6"/>
  <c r="AF279" i="6"/>
  <c r="C280" i="6"/>
  <c r="D280" i="6"/>
  <c r="E280" i="6"/>
  <c r="F280" i="6"/>
  <c r="G280" i="6"/>
  <c r="H280" i="6"/>
  <c r="I280" i="6"/>
  <c r="J280" i="6"/>
  <c r="K280" i="6"/>
  <c r="L280" i="6"/>
  <c r="M280" i="6"/>
  <c r="N280" i="6"/>
  <c r="O280" i="6"/>
  <c r="P280" i="6"/>
  <c r="Q280" i="6"/>
  <c r="R280" i="6"/>
  <c r="S280" i="6"/>
  <c r="T280" i="6"/>
  <c r="U280" i="6"/>
  <c r="V280" i="6"/>
  <c r="W280" i="6"/>
  <c r="X280" i="6"/>
  <c r="Y280" i="6"/>
  <c r="Z280" i="6"/>
  <c r="AA280" i="6"/>
  <c r="AB280" i="6"/>
  <c r="AC280" i="6"/>
  <c r="AD280" i="6"/>
  <c r="AE280" i="6"/>
  <c r="AF280" i="6"/>
  <c r="AF261" i="6"/>
  <c r="AE261" i="6"/>
  <c r="AD261" i="6"/>
  <c r="AC261" i="6"/>
  <c r="AB261" i="6"/>
  <c r="AA261" i="6"/>
  <c r="Z261" i="6"/>
  <c r="Y261" i="6"/>
  <c r="X261" i="6"/>
  <c r="W261" i="6"/>
  <c r="V261" i="6"/>
  <c r="U261" i="6"/>
  <c r="T261" i="6"/>
  <c r="S261" i="6"/>
  <c r="R261" i="6"/>
  <c r="Q261" i="6"/>
  <c r="P261" i="6"/>
  <c r="O261" i="6"/>
  <c r="N261" i="6"/>
  <c r="M261" i="6"/>
  <c r="L261" i="6"/>
  <c r="K261" i="6"/>
  <c r="J261" i="6"/>
  <c r="I261" i="6"/>
  <c r="H261" i="6"/>
  <c r="G261" i="6"/>
  <c r="F261" i="6"/>
  <c r="E261" i="6"/>
  <c r="D261" i="6"/>
  <c r="C261" i="6"/>
  <c r="C287" i="6"/>
  <c r="D287" i="6"/>
  <c r="E287" i="6"/>
  <c r="F287" i="6"/>
  <c r="G287" i="6"/>
  <c r="H287" i="6"/>
  <c r="I287" i="6"/>
  <c r="J287" i="6"/>
  <c r="K287" i="6"/>
  <c r="L287" i="6"/>
  <c r="M287" i="6"/>
  <c r="N287" i="6"/>
  <c r="O287" i="6"/>
  <c r="P287" i="6"/>
  <c r="Q287" i="6"/>
  <c r="R287" i="6"/>
  <c r="S287" i="6"/>
  <c r="T287" i="6"/>
  <c r="U287" i="6"/>
  <c r="V287" i="6"/>
  <c r="W287" i="6"/>
  <c r="X287" i="6"/>
  <c r="Y287" i="6"/>
  <c r="Z287" i="6"/>
  <c r="AA287" i="6"/>
  <c r="AB287" i="6"/>
  <c r="AC287" i="6"/>
  <c r="AD287" i="6"/>
  <c r="AE287" i="6"/>
  <c r="AF287" i="6"/>
  <c r="AG287" i="6"/>
  <c r="C288" i="6"/>
  <c r="D288" i="6"/>
  <c r="E288" i="6"/>
  <c r="F288" i="6"/>
  <c r="G288" i="6"/>
  <c r="H288" i="6"/>
  <c r="I288" i="6"/>
  <c r="J288" i="6"/>
  <c r="K288" i="6"/>
  <c r="L288" i="6"/>
  <c r="M288" i="6"/>
  <c r="N288" i="6"/>
  <c r="O288" i="6"/>
  <c r="P288" i="6"/>
  <c r="Q288" i="6"/>
  <c r="R288" i="6"/>
  <c r="S288" i="6"/>
  <c r="T288" i="6"/>
  <c r="U288" i="6"/>
  <c r="V288" i="6"/>
  <c r="W288" i="6"/>
  <c r="X288" i="6"/>
  <c r="Y288" i="6"/>
  <c r="Z288" i="6"/>
  <c r="AA288" i="6"/>
  <c r="AB288" i="6"/>
  <c r="AC288" i="6"/>
  <c r="AD288" i="6"/>
  <c r="AE288" i="6"/>
  <c r="AF288" i="6"/>
  <c r="AG288" i="6"/>
  <c r="C289" i="6"/>
  <c r="D289" i="6"/>
  <c r="E289" i="6"/>
  <c r="F289" i="6"/>
  <c r="G289" i="6"/>
  <c r="H289" i="6"/>
  <c r="I289" i="6"/>
  <c r="J289" i="6"/>
  <c r="K289" i="6"/>
  <c r="L289" i="6"/>
  <c r="M289" i="6"/>
  <c r="N289" i="6"/>
  <c r="O289" i="6"/>
  <c r="P289" i="6"/>
  <c r="Q289" i="6"/>
  <c r="R289" i="6"/>
  <c r="S289" i="6"/>
  <c r="T289" i="6"/>
  <c r="U289" i="6"/>
  <c r="V289" i="6"/>
  <c r="W289" i="6"/>
  <c r="X289" i="6"/>
  <c r="Y289" i="6"/>
  <c r="Z289" i="6"/>
  <c r="AA289" i="6"/>
  <c r="AB289" i="6"/>
  <c r="AC289" i="6"/>
  <c r="AD289" i="6"/>
  <c r="AE289" i="6"/>
  <c r="AF289" i="6"/>
  <c r="AG289" i="6"/>
  <c r="C290" i="6"/>
  <c r="D290" i="6"/>
  <c r="E290" i="6"/>
  <c r="F290" i="6"/>
  <c r="G290" i="6"/>
  <c r="H290" i="6"/>
  <c r="I290" i="6"/>
  <c r="J290" i="6"/>
  <c r="K290" i="6"/>
  <c r="L290" i="6"/>
  <c r="M290" i="6"/>
  <c r="N290" i="6"/>
  <c r="O290" i="6"/>
  <c r="P290" i="6"/>
  <c r="Q290" i="6"/>
  <c r="R290" i="6"/>
  <c r="S290" i="6"/>
  <c r="T290" i="6"/>
  <c r="U290" i="6"/>
  <c r="V290" i="6"/>
  <c r="W290" i="6"/>
  <c r="X290" i="6"/>
  <c r="Y290" i="6"/>
  <c r="Z290" i="6"/>
  <c r="AA290" i="6"/>
  <c r="AB290" i="6"/>
  <c r="AC290" i="6"/>
  <c r="AD290" i="6"/>
  <c r="AE290" i="6"/>
  <c r="AF290" i="6"/>
  <c r="AG290" i="6"/>
  <c r="C291" i="6"/>
  <c r="D291" i="6"/>
  <c r="E291" i="6"/>
  <c r="F291" i="6"/>
  <c r="G291" i="6"/>
  <c r="H291" i="6"/>
  <c r="I291" i="6"/>
  <c r="J291" i="6"/>
  <c r="K291" i="6"/>
  <c r="L291" i="6"/>
  <c r="M291" i="6"/>
  <c r="N291" i="6"/>
  <c r="O291" i="6"/>
  <c r="P291" i="6"/>
  <c r="Q291" i="6"/>
  <c r="R291" i="6"/>
  <c r="S291" i="6"/>
  <c r="T291" i="6"/>
  <c r="U291" i="6"/>
  <c r="V291" i="6"/>
  <c r="W291" i="6"/>
  <c r="X291" i="6"/>
  <c r="Y291" i="6"/>
  <c r="Z291" i="6"/>
  <c r="AA291" i="6"/>
  <c r="AB291" i="6"/>
  <c r="AC291" i="6"/>
  <c r="AD291" i="6"/>
  <c r="AE291" i="6"/>
  <c r="AF291" i="6"/>
  <c r="AG291" i="6"/>
  <c r="C292" i="6"/>
  <c r="D292" i="6"/>
  <c r="E292" i="6"/>
  <c r="F292" i="6"/>
  <c r="G292" i="6"/>
  <c r="H292" i="6"/>
  <c r="I292" i="6"/>
  <c r="J292" i="6"/>
  <c r="K292" i="6"/>
  <c r="L292" i="6"/>
  <c r="M292" i="6"/>
  <c r="N292" i="6"/>
  <c r="O292" i="6"/>
  <c r="P292" i="6"/>
  <c r="Q292" i="6"/>
  <c r="R292" i="6"/>
  <c r="S292" i="6"/>
  <c r="T292" i="6"/>
  <c r="U292" i="6"/>
  <c r="V292" i="6"/>
  <c r="W292" i="6"/>
  <c r="X292" i="6"/>
  <c r="Y292" i="6"/>
  <c r="Z292" i="6"/>
  <c r="AA292" i="6"/>
  <c r="AB292" i="6"/>
  <c r="AC292" i="6"/>
  <c r="AD292" i="6"/>
  <c r="AE292" i="6"/>
  <c r="AF292" i="6"/>
  <c r="AG292" i="6"/>
  <c r="C293" i="6"/>
  <c r="D293" i="6"/>
  <c r="E293" i="6"/>
  <c r="F293" i="6"/>
  <c r="G293" i="6"/>
  <c r="H293" i="6"/>
  <c r="I293" i="6"/>
  <c r="J293" i="6"/>
  <c r="K293" i="6"/>
  <c r="L293" i="6"/>
  <c r="M293" i="6"/>
  <c r="N293" i="6"/>
  <c r="O293" i="6"/>
  <c r="P293" i="6"/>
  <c r="Q293" i="6"/>
  <c r="R293" i="6"/>
  <c r="S293" i="6"/>
  <c r="T293" i="6"/>
  <c r="U293" i="6"/>
  <c r="V293" i="6"/>
  <c r="W293" i="6"/>
  <c r="X293" i="6"/>
  <c r="Y293" i="6"/>
  <c r="Z293" i="6"/>
  <c r="AA293" i="6"/>
  <c r="AB293" i="6"/>
  <c r="AC293" i="6"/>
  <c r="AD293" i="6"/>
  <c r="AE293" i="6"/>
  <c r="AF293" i="6"/>
  <c r="AG293" i="6"/>
  <c r="C294" i="6"/>
  <c r="D294" i="6"/>
  <c r="E294" i="6"/>
  <c r="F294" i="6"/>
  <c r="G294" i="6"/>
  <c r="H294" i="6"/>
  <c r="I294" i="6"/>
  <c r="J294" i="6"/>
  <c r="K294" i="6"/>
  <c r="L294" i="6"/>
  <c r="M294" i="6"/>
  <c r="N294" i="6"/>
  <c r="O294" i="6"/>
  <c r="P294" i="6"/>
  <c r="Q294" i="6"/>
  <c r="R294" i="6"/>
  <c r="S294" i="6"/>
  <c r="T294" i="6"/>
  <c r="U294" i="6"/>
  <c r="V294" i="6"/>
  <c r="W294" i="6"/>
  <c r="X294" i="6"/>
  <c r="Y294" i="6"/>
  <c r="Z294" i="6"/>
  <c r="AA294" i="6"/>
  <c r="AB294" i="6"/>
  <c r="AC294" i="6"/>
  <c r="AD294" i="6"/>
  <c r="AE294" i="6"/>
  <c r="AF294" i="6"/>
  <c r="AG294" i="6"/>
  <c r="C295" i="6"/>
  <c r="D295" i="6"/>
  <c r="E295" i="6"/>
  <c r="F295" i="6"/>
  <c r="G295" i="6"/>
  <c r="H295" i="6"/>
  <c r="I295" i="6"/>
  <c r="J295" i="6"/>
  <c r="K295" i="6"/>
  <c r="L295" i="6"/>
  <c r="M295" i="6"/>
  <c r="N295" i="6"/>
  <c r="O295" i="6"/>
  <c r="P295" i="6"/>
  <c r="Q295" i="6"/>
  <c r="R295" i="6"/>
  <c r="S295" i="6"/>
  <c r="T295" i="6"/>
  <c r="U295" i="6"/>
  <c r="V295" i="6"/>
  <c r="W295" i="6"/>
  <c r="X295" i="6"/>
  <c r="Y295" i="6"/>
  <c r="Z295" i="6"/>
  <c r="AA295" i="6"/>
  <c r="AB295" i="6"/>
  <c r="AC295" i="6"/>
  <c r="AD295" i="6"/>
  <c r="AE295" i="6"/>
  <c r="AF295" i="6"/>
  <c r="AG295" i="6"/>
  <c r="C296" i="6"/>
  <c r="D296" i="6"/>
  <c r="E296" i="6"/>
  <c r="F296" i="6"/>
  <c r="G296" i="6"/>
  <c r="H296" i="6"/>
  <c r="I296" i="6"/>
  <c r="J296" i="6"/>
  <c r="K296" i="6"/>
  <c r="L296" i="6"/>
  <c r="M296" i="6"/>
  <c r="N296" i="6"/>
  <c r="O296" i="6"/>
  <c r="P296" i="6"/>
  <c r="Q296" i="6"/>
  <c r="R296" i="6"/>
  <c r="S296" i="6"/>
  <c r="T296" i="6"/>
  <c r="U296" i="6"/>
  <c r="V296" i="6"/>
  <c r="W296" i="6"/>
  <c r="X296" i="6"/>
  <c r="Y296" i="6"/>
  <c r="Z296" i="6"/>
  <c r="AA296" i="6"/>
  <c r="AB296" i="6"/>
  <c r="AC296" i="6"/>
  <c r="AD296" i="6"/>
  <c r="AE296" i="6"/>
  <c r="AF296" i="6"/>
  <c r="AG296" i="6"/>
  <c r="C297" i="6"/>
  <c r="D297" i="6"/>
  <c r="E297" i="6"/>
  <c r="F297" i="6"/>
  <c r="G297" i="6"/>
  <c r="H297" i="6"/>
  <c r="I297" i="6"/>
  <c r="J297" i="6"/>
  <c r="K297" i="6"/>
  <c r="L297" i="6"/>
  <c r="M297" i="6"/>
  <c r="N297" i="6"/>
  <c r="O297" i="6"/>
  <c r="P297" i="6"/>
  <c r="Q297" i="6"/>
  <c r="R297" i="6"/>
  <c r="S297" i="6"/>
  <c r="T297" i="6"/>
  <c r="U297" i="6"/>
  <c r="V297" i="6"/>
  <c r="W297" i="6"/>
  <c r="X297" i="6"/>
  <c r="Y297" i="6"/>
  <c r="Z297" i="6"/>
  <c r="AA297" i="6"/>
  <c r="AB297" i="6"/>
  <c r="AC297" i="6"/>
  <c r="AD297" i="6"/>
  <c r="AE297" i="6"/>
  <c r="AF297" i="6"/>
  <c r="AG297" i="6"/>
  <c r="C298" i="6"/>
  <c r="D298" i="6"/>
  <c r="E298" i="6"/>
  <c r="F298" i="6"/>
  <c r="G298" i="6"/>
  <c r="H298" i="6"/>
  <c r="I298" i="6"/>
  <c r="J298" i="6"/>
  <c r="K298" i="6"/>
  <c r="L298" i="6"/>
  <c r="M298" i="6"/>
  <c r="N298" i="6"/>
  <c r="O298" i="6"/>
  <c r="P298" i="6"/>
  <c r="Q298" i="6"/>
  <c r="R298" i="6"/>
  <c r="S298" i="6"/>
  <c r="T298" i="6"/>
  <c r="U298" i="6"/>
  <c r="V298" i="6"/>
  <c r="W298" i="6"/>
  <c r="X298" i="6"/>
  <c r="Y298" i="6"/>
  <c r="Z298" i="6"/>
  <c r="AA298" i="6"/>
  <c r="AB298" i="6"/>
  <c r="AC298" i="6"/>
  <c r="AD298" i="6"/>
  <c r="AE298" i="6"/>
  <c r="AF298" i="6"/>
  <c r="AG298" i="6"/>
  <c r="C299" i="6"/>
  <c r="D299" i="6"/>
  <c r="E299" i="6"/>
  <c r="F299" i="6"/>
  <c r="G299" i="6"/>
  <c r="H299" i="6"/>
  <c r="I299" i="6"/>
  <c r="J299" i="6"/>
  <c r="K299" i="6"/>
  <c r="L299" i="6"/>
  <c r="M299" i="6"/>
  <c r="N299" i="6"/>
  <c r="O299" i="6"/>
  <c r="P299" i="6"/>
  <c r="Q299" i="6"/>
  <c r="R299" i="6"/>
  <c r="S299" i="6"/>
  <c r="T299" i="6"/>
  <c r="U299" i="6"/>
  <c r="V299" i="6"/>
  <c r="W299" i="6"/>
  <c r="X299" i="6"/>
  <c r="Y299" i="6"/>
  <c r="Z299" i="6"/>
  <c r="AA299" i="6"/>
  <c r="AB299" i="6"/>
  <c r="AC299" i="6"/>
  <c r="AD299" i="6"/>
  <c r="AE299" i="6"/>
  <c r="AF299" i="6"/>
  <c r="AG299" i="6"/>
  <c r="C300" i="6"/>
  <c r="D300" i="6"/>
  <c r="E300" i="6"/>
  <c r="F300" i="6"/>
  <c r="G300" i="6"/>
  <c r="H300" i="6"/>
  <c r="I300" i="6"/>
  <c r="J300" i="6"/>
  <c r="K300" i="6"/>
  <c r="L300" i="6"/>
  <c r="M300" i="6"/>
  <c r="N300" i="6"/>
  <c r="O300" i="6"/>
  <c r="P300" i="6"/>
  <c r="Q300" i="6"/>
  <c r="R300" i="6"/>
  <c r="S300" i="6"/>
  <c r="T300" i="6"/>
  <c r="U300" i="6"/>
  <c r="V300" i="6"/>
  <c r="W300" i="6"/>
  <c r="X300" i="6"/>
  <c r="Y300" i="6"/>
  <c r="Z300" i="6"/>
  <c r="AA300" i="6"/>
  <c r="AB300" i="6"/>
  <c r="AC300" i="6"/>
  <c r="AD300" i="6"/>
  <c r="AE300" i="6"/>
  <c r="AF300" i="6"/>
  <c r="AG300" i="6"/>
  <c r="C301" i="6"/>
  <c r="D301" i="6"/>
  <c r="E301" i="6"/>
  <c r="F301" i="6"/>
  <c r="G301" i="6"/>
  <c r="H301" i="6"/>
  <c r="I301" i="6"/>
  <c r="J301" i="6"/>
  <c r="K301" i="6"/>
  <c r="L301" i="6"/>
  <c r="M301" i="6"/>
  <c r="N301" i="6"/>
  <c r="O301" i="6"/>
  <c r="P301" i="6"/>
  <c r="Q301" i="6"/>
  <c r="R301" i="6"/>
  <c r="S301" i="6"/>
  <c r="T301" i="6"/>
  <c r="U301" i="6"/>
  <c r="V301" i="6"/>
  <c r="W301" i="6"/>
  <c r="X301" i="6"/>
  <c r="Y301" i="6"/>
  <c r="Z301" i="6"/>
  <c r="AA301" i="6"/>
  <c r="AB301" i="6"/>
  <c r="AC301" i="6"/>
  <c r="AD301" i="6"/>
  <c r="AE301" i="6"/>
  <c r="AF301" i="6"/>
  <c r="AG301" i="6"/>
  <c r="C302" i="6"/>
  <c r="D302" i="6"/>
  <c r="E302" i="6"/>
  <c r="F302" i="6"/>
  <c r="G302" i="6"/>
  <c r="H302" i="6"/>
  <c r="I302" i="6"/>
  <c r="J302" i="6"/>
  <c r="K302" i="6"/>
  <c r="L302" i="6"/>
  <c r="M302" i="6"/>
  <c r="N302" i="6"/>
  <c r="O302" i="6"/>
  <c r="P302" i="6"/>
  <c r="Q302" i="6"/>
  <c r="R302" i="6"/>
  <c r="S302" i="6"/>
  <c r="T302" i="6"/>
  <c r="U302" i="6"/>
  <c r="V302" i="6"/>
  <c r="W302" i="6"/>
  <c r="X302" i="6"/>
  <c r="Y302" i="6"/>
  <c r="Z302" i="6"/>
  <c r="AA302" i="6"/>
  <c r="AB302" i="6"/>
  <c r="AC302" i="6"/>
  <c r="AD302" i="6"/>
  <c r="AE302" i="6"/>
  <c r="AF302" i="6"/>
  <c r="AG302" i="6"/>
  <c r="C303" i="6"/>
  <c r="D303" i="6"/>
  <c r="E303" i="6"/>
  <c r="F303" i="6"/>
  <c r="G303" i="6"/>
  <c r="H303" i="6"/>
  <c r="I303" i="6"/>
  <c r="J303" i="6"/>
  <c r="K303" i="6"/>
  <c r="L303" i="6"/>
  <c r="M303" i="6"/>
  <c r="N303" i="6"/>
  <c r="O303" i="6"/>
  <c r="P303" i="6"/>
  <c r="Q303" i="6"/>
  <c r="R303" i="6"/>
  <c r="S303" i="6"/>
  <c r="T303" i="6"/>
  <c r="U303" i="6"/>
  <c r="V303" i="6"/>
  <c r="W303" i="6"/>
  <c r="X303" i="6"/>
  <c r="Y303" i="6"/>
  <c r="Z303" i="6"/>
  <c r="AA303" i="6"/>
  <c r="AB303" i="6"/>
  <c r="AC303" i="6"/>
  <c r="AD303" i="6"/>
  <c r="AE303" i="6"/>
  <c r="AF303" i="6"/>
  <c r="AG303" i="6"/>
  <c r="C304" i="6"/>
  <c r="D304" i="6"/>
  <c r="E304" i="6"/>
  <c r="F304" i="6"/>
  <c r="G304" i="6"/>
  <c r="H304" i="6"/>
  <c r="I304" i="6"/>
  <c r="J304" i="6"/>
  <c r="K304" i="6"/>
  <c r="L304" i="6"/>
  <c r="M304" i="6"/>
  <c r="N304" i="6"/>
  <c r="O304" i="6"/>
  <c r="P304" i="6"/>
  <c r="Q304" i="6"/>
  <c r="R304" i="6"/>
  <c r="S304" i="6"/>
  <c r="T304" i="6"/>
  <c r="U304" i="6"/>
  <c r="V304" i="6"/>
  <c r="W304" i="6"/>
  <c r="X304" i="6"/>
  <c r="Y304" i="6"/>
  <c r="Z304" i="6"/>
  <c r="AA304" i="6"/>
  <c r="AB304" i="6"/>
  <c r="AC304" i="6"/>
  <c r="AD304" i="6"/>
  <c r="AE304" i="6"/>
  <c r="AF304" i="6"/>
  <c r="AG304" i="6"/>
  <c r="C305" i="6"/>
  <c r="D305" i="6"/>
  <c r="E305" i="6"/>
  <c r="F305" i="6"/>
  <c r="G305" i="6"/>
  <c r="H305" i="6"/>
  <c r="I305" i="6"/>
  <c r="J305" i="6"/>
  <c r="K305" i="6"/>
  <c r="L305" i="6"/>
  <c r="M305" i="6"/>
  <c r="N305" i="6"/>
  <c r="O305" i="6"/>
  <c r="P305" i="6"/>
  <c r="Q305" i="6"/>
  <c r="R305" i="6"/>
  <c r="S305" i="6"/>
  <c r="T305" i="6"/>
  <c r="U305" i="6"/>
  <c r="V305" i="6"/>
  <c r="W305" i="6"/>
  <c r="X305" i="6"/>
  <c r="Y305" i="6"/>
  <c r="Z305" i="6"/>
  <c r="AA305" i="6"/>
  <c r="AB305" i="6"/>
  <c r="AC305" i="6"/>
  <c r="AD305" i="6"/>
  <c r="AE305" i="6"/>
  <c r="AF305" i="6"/>
  <c r="AG305" i="6"/>
  <c r="AG286" i="6"/>
  <c r="AF286" i="6"/>
  <c r="AE286" i="6"/>
  <c r="AD286" i="6"/>
  <c r="AC286" i="6"/>
  <c r="AB286" i="6"/>
  <c r="AA286" i="6"/>
  <c r="Z286" i="6"/>
  <c r="Y286" i="6"/>
  <c r="X286" i="6"/>
  <c r="W286" i="6"/>
  <c r="V286" i="6"/>
  <c r="U286" i="6"/>
  <c r="T286" i="6"/>
  <c r="S286" i="6"/>
  <c r="R286" i="6"/>
  <c r="Q286" i="6"/>
  <c r="P286" i="6"/>
  <c r="O286" i="6"/>
  <c r="N286" i="6"/>
  <c r="M286" i="6"/>
  <c r="L286" i="6"/>
  <c r="K286" i="6"/>
  <c r="J286" i="6"/>
  <c r="I286" i="6"/>
  <c r="H286" i="6"/>
  <c r="G286" i="6"/>
  <c r="F286" i="6"/>
  <c r="E286" i="6"/>
  <c r="D286" i="6"/>
  <c r="C286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36" i="6"/>
  <c r="P51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2" i="6"/>
  <c r="P53" i="6"/>
  <c r="P54" i="6"/>
  <c r="P55" i="6"/>
  <c r="P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36" i="6"/>
  <c r="C12" i="6"/>
  <c r="E12" i="6" s="1"/>
  <c r="G12" i="6" s="1"/>
  <c r="I12" i="6" s="1"/>
  <c r="K12" i="6" s="1"/>
  <c r="M12" i="6" s="1"/>
  <c r="O12" i="6" s="1"/>
  <c r="Q12" i="6" s="1"/>
  <c r="S12" i="6" s="1"/>
  <c r="U12" i="6" s="1"/>
  <c r="W12" i="6" s="1"/>
  <c r="Y12" i="6" s="1"/>
  <c r="AA12" i="6" s="1"/>
  <c r="AC12" i="6" s="1"/>
  <c r="AE12" i="6" s="1"/>
  <c r="AG12" i="6" s="1"/>
  <c r="C13" i="6"/>
  <c r="C14" i="6"/>
  <c r="E14" i="6" s="1"/>
  <c r="G14" i="6" s="1"/>
  <c r="I14" i="6" s="1"/>
  <c r="K14" i="6" s="1"/>
  <c r="M14" i="6" s="1"/>
  <c r="O14" i="6" s="1"/>
  <c r="Q14" i="6" s="1"/>
  <c r="S14" i="6" s="1"/>
  <c r="U14" i="6" s="1"/>
  <c r="W14" i="6" s="1"/>
  <c r="Y14" i="6" s="1"/>
  <c r="AA14" i="6" s="1"/>
  <c r="AC14" i="6" s="1"/>
  <c r="AE14" i="6" s="1"/>
  <c r="AG14" i="6" s="1"/>
  <c r="C15" i="6"/>
  <c r="E15" i="6" s="1"/>
  <c r="G15" i="6" s="1"/>
  <c r="I15" i="6" s="1"/>
  <c r="K15" i="6" s="1"/>
  <c r="M15" i="6" s="1"/>
  <c r="O15" i="6" s="1"/>
  <c r="Q15" i="6" s="1"/>
  <c r="S15" i="6" s="1"/>
  <c r="U15" i="6" s="1"/>
  <c r="W15" i="6" s="1"/>
  <c r="Y15" i="6" s="1"/>
  <c r="AA15" i="6" s="1"/>
  <c r="AC15" i="6" s="1"/>
  <c r="AE15" i="6" s="1"/>
  <c r="AG15" i="6" s="1"/>
  <c r="C16" i="6"/>
  <c r="E16" i="6" s="1"/>
  <c r="G16" i="6" s="1"/>
  <c r="I16" i="6" s="1"/>
  <c r="K16" i="6" s="1"/>
  <c r="M16" i="6" s="1"/>
  <c r="O16" i="6" s="1"/>
  <c r="Q16" i="6" s="1"/>
  <c r="S16" i="6" s="1"/>
  <c r="U16" i="6" s="1"/>
  <c r="W16" i="6" s="1"/>
  <c r="Y16" i="6" s="1"/>
  <c r="AA16" i="6" s="1"/>
  <c r="AC16" i="6" s="1"/>
  <c r="AE16" i="6" s="1"/>
  <c r="AG16" i="6" s="1"/>
  <c r="C17" i="6"/>
  <c r="E17" i="6" s="1"/>
  <c r="G17" i="6" s="1"/>
  <c r="I17" i="6" s="1"/>
  <c r="K17" i="6" s="1"/>
  <c r="M17" i="6" s="1"/>
  <c r="O17" i="6" s="1"/>
  <c r="Q17" i="6" s="1"/>
  <c r="S17" i="6" s="1"/>
  <c r="U17" i="6" s="1"/>
  <c r="W17" i="6" s="1"/>
  <c r="Y17" i="6" s="1"/>
  <c r="AA17" i="6" s="1"/>
  <c r="AC17" i="6" s="1"/>
  <c r="AE17" i="6" s="1"/>
  <c r="AG17" i="6" s="1"/>
  <c r="C18" i="6"/>
  <c r="E18" i="6" s="1"/>
  <c r="G18" i="6" s="1"/>
  <c r="I18" i="6" s="1"/>
  <c r="K18" i="6" s="1"/>
  <c r="M18" i="6" s="1"/>
  <c r="O18" i="6" s="1"/>
  <c r="Q18" i="6" s="1"/>
  <c r="S18" i="6" s="1"/>
  <c r="U18" i="6" s="1"/>
  <c r="W18" i="6" s="1"/>
  <c r="Y18" i="6" s="1"/>
  <c r="AA18" i="6" s="1"/>
  <c r="AC18" i="6" s="1"/>
  <c r="AE18" i="6" s="1"/>
  <c r="AG18" i="6" s="1"/>
  <c r="C19" i="6"/>
  <c r="E19" i="6" s="1"/>
  <c r="G19" i="6" s="1"/>
  <c r="I19" i="6" s="1"/>
  <c r="K19" i="6" s="1"/>
  <c r="M19" i="6" s="1"/>
  <c r="O19" i="6" s="1"/>
  <c r="Q19" i="6" s="1"/>
  <c r="S19" i="6" s="1"/>
  <c r="U19" i="6" s="1"/>
  <c r="W19" i="6" s="1"/>
  <c r="Y19" i="6" s="1"/>
  <c r="AA19" i="6" s="1"/>
  <c r="AC19" i="6" s="1"/>
  <c r="AE19" i="6" s="1"/>
  <c r="AG19" i="6" s="1"/>
  <c r="C20" i="6"/>
  <c r="E20" i="6" s="1"/>
  <c r="G20" i="6" s="1"/>
  <c r="I20" i="6" s="1"/>
  <c r="K20" i="6" s="1"/>
  <c r="M20" i="6" s="1"/>
  <c r="O20" i="6" s="1"/>
  <c r="Q20" i="6" s="1"/>
  <c r="S20" i="6" s="1"/>
  <c r="U20" i="6" s="1"/>
  <c r="W20" i="6" s="1"/>
  <c r="Y20" i="6" s="1"/>
  <c r="AA20" i="6" s="1"/>
  <c r="AC20" i="6" s="1"/>
  <c r="AE20" i="6" s="1"/>
  <c r="AG20" i="6" s="1"/>
  <c r="C21" i="6"/>
  <c r="E21" i="6" s="1"/>
  <c r="G21" i="6" s="1"/>
  <c r="I21" i="6" s="1"/>
  <c r="K21" i="6" s="1"/>
  <c r="M21" i="6" s="1"/>
  <c r="O21" i="6" s="1"/>
  <c r="Q21" i="6" s="1"/>
  <c r="S21" i="6" s="1"/>
  <c r="U21" i="6" s="1"/>
  <c r="W21" i="6" s="1"/>
  <c r="Y21" i="6" s="1"/>
  <c r="AA21" i="6" s="1"/>
  <c r="AC21" i="6" s="1"/>
  <c r="AE21" i="6" s="1"/>
  <c r="AG21" i="6" s="1"/>
  <c r="C22" i="6"/>
  <c r="E22" i="6" s="1"/>
  <c r="G22" i="6" s="1"/>
  <c r="I22" i="6" s="1"/>
  <c r="K22" i="6" s="1"/>
  <c r="M22" i="6" s="1"/>
  <c r="O22" i="6" s="1"/>
  <c r="Q22" i="6" s="1"/>
  <c r="S22" i="6" s="1"/>
  <c r="U22" i="6" s="1"/>
  <c r="W22" i="6" s="1"/>
  <c r="Y22" i="6" s="1"/>
  <c r="AA22" i="6" s="1"/>
  <c r="AC22" i="6" s="1"/>
  <c r="AE22" i="6" s="1"/>
  <c r="AG22" i="6" s="1"/>
  <c r="C23" i="6"/>
  <c r="E23" i="6" s="1"/>
  <c r="G23" i="6" s="1"/>
  <c r="I23" i="6" s="1"/>
  <c r="K23" i="6" s="1"/>
  <c r="M23" i="6" s="1"/>
  <c r="O23" i="6" s="1"/>
  <c r="Q23" i="6" s="1"/>
  <c r="S23" i="6" s="1"/>
  <c r="U23" i="6" s="1"/>
  <c r="W23" i="6" s="1"/>
  <c r="Y23" i="6" s="1"/>
  <c r="AA23" i="6" s="1"/>
  <c r="AC23" i="6" s="1"/>
  <c r="AE23" i="6" s="1"/>
  <c r="AG23" i="6" s="1"/>
  <c r="C24" i="6"/>
  <c r="E24" i="6" s="1"/>
  <c r="G24" i="6" s="1"/>
  <c r="I24" i="6" s="1"/>
  <c r="K24" i="6" s="1"/>
  <c r="M24" i="6" s="1"/>
  <c r="O24" i="6" s="1"/>
  <c r="Q24" i="6" s="1"/>
  <c r="S24" i="6" s="1"/>
  <c r="U24" i="6" s="1"/>
  <c r="W24" i="6" s="1"/>
  <c r="Y24" i="6" s="1"/>
  <c r="AA24" i="6" s="1"/>
  <c r="AC24" i="6" s="1"/>
  <c r="AE24" i="6" s="1"/>
  <c r="AG24" i="6" s="1"/>
  <c r="C25" i="6"/>
  <c r="E25" i="6" s="1"/>
  <c r="G25" i="6" s="1"/>
  <c r="I25" i="6" s="1"/>
  <c r="K25" i="6" s="1"/>
  <c r="M25" i="6" s="1"/>
  <c r="O25" i="6" s="1"/>
  <c r="Q25" i="6" s="1"/>
  <c r="S25" i="6" s="1"/>
  <c r="U25" i="6" s="1"/>
  <c r="W25" i="6" s="1"/>
  <c r="Y25" i="6" s="1"/>
  <c r="AA25" i="6" s="1"/>
  <c r="AC25" i="6" s="1"/>
  <c r="AE25" i="6" s="1"/>
  <c r="AG25" i="6" s="1"/>
  <c r="C26" i="6"/>
  <c r="E26" i="6" s="1"/>
  <c r="G26" i="6" s="1"/>
  <c r="I26" i="6" s="1"/>
  <c r="K26" i="6" s="1"/>
  <c r="M26" i="6" s="1"/>
  <c r="O26" i="6" s="1"/>
  <c r="Q26" i="6" s="1"/>
  <c r="S26" i="6" s="1"/>
  <c r="U26" i="6" s="1"/>
  <c r="W26" i="6" s="1"/>
  <c r="Y26" i="6" s="1"/>
  <c r="AA26" i="6" s="1"/>
  <c r="AC26" i="6" s="1"/>
  <c r="AE26" i="6" s="1"/>
  <c r="AG26" i="6" s="1"/>
  <c r="C27" i="6"/>
  <c r="E27" i="6" s="1"/>
  <c r="G27" i="6" s="1"/>
  <c r="I27" i="6" s="1"/>
  <c r="K27" i="6" s="1"/>
  <c r="M27" i="6" s="1"/>
  <c r="O27" i="6" s="1"/>
  <c r="Q27" i="6" s="1"/>
  <c r="S27" i="6" s="1"/>
  <c r="U27" i="6" s="1"/>
  <c r="W27" i="6" s="1"/>
  <c r="Y27" i="6" s="1"/>
  <c r="AA27" i="6" s="1"/>
  <c r="AC27" i="6" s="1"/>
  <c r="AE27" i="6" s="1"/>
  <c r="AG27" i="6" s="1"/>
  <c r="C28" i="6"/>
  <c r="E28" i="6" s="1"/>
  <c r="G28" i="6" s="1"/>
  <c r="I28" i="6" s="1"/>
  <c r="K28" i="6" s="1"/>
  <c r="M28" i="6" s="1"/>
  <c r="O28" i="6" s="1"/>
  <c r="Q28" i="6" s="1"/>
  <c r="S28" i="6" s="1"/>
  <c r="U28" i="6" s="1"/>
  <c r="W28" i="6" s="1"/>
  <c r="Y28" i="6" s="1"/>
  <c r="AA28" i="6" s="1"/>
  <c r="AC28" i="6" s="1"/>
  <c r="AE28" i="6" s="1"/>
  <c r="AG28" i="6" s="1"/>
  <c r="C29" i="6"/>
  <c r="E29" i="6" s="1"/>
  <c r="G29" i="6" s="1"/>
  <c r="I29" i="6" s="1"/>
  <c r="K29" i="6" s="1"/>
  <c r="M29" i="6" s="1"/>
  <c r="O29" i="6" s="1"/>
  <c r="Q29" i="6" s="1"/>
  <c r="S29" i="6" s="1"/>
  <c r="U29" i="6" s="1"/>
  <c r="W29" i="6" s="1"/>
  <c r="Y29" i="6" s="1"/>
  <c r="AA29" i="6" s="1"/>
  <c r="AC29" i="6" s="1"/>
  <c r="AE29" i="6" s="1"/>
  <c r="AG29" i="6" s="1"/>
  <c r="C30" i="6"/>
  <c r="E30" i="6" s="1"/>
  <c r="G30" i="6" s="1"/>
  <c r="I30" i="6" s="1"/>
  <c r="K30" i="6" s="1"/>
  <c r="M30" i="6" s="1"/>
  <c r="O30" i="6" s="1"/>
  <c r="Q30" i="6" s="1"/>
  <c r="S30" i="6" s="1"/>
  <c r="U30" i="6" s="1"/>
  <c r="W30" i="6" s="1"/>
  <c r="Y30" i="6" s="1"/>
  <c r="AA30" i="6" s="1"/>
  <c r="AC30" i="6" s="1"/>
  <c r="AE30" i="6" s="1"/>
  <c r="AG30" i="6" s="1"/>
  <c r="C11" i="6"/>
  <c r="E11" i="6" s="1"/>
  <c r="G11" i="6" s="1"/>
  <c r="I11" i="6" s="1"/>
  <c r="K11" i="6" s="1"/>
  <c r="M11" i="6" s="1"/>
  <c r="O11" i="6" s="1"/>
  <c r="Q11" i="6" s="1"/>
  <c r="S11" i="6" s="1"/>
  <c r="U11" i="6" s="1"/>
  <c r="W11" i="6" s="1"/>
  <c r="Y11" i="6" s="1"/>
  <c r="AA11" i="6" s="1"/>
  <c r="AC11" i="6" s="1"/>
  <c r="AE11" i="6" s="1"/>
  <c r="AG11" i="6" s="1"/>
  <c r="E13" i="6"/>
  <c r="G13" i="6" s="1"/>
  <c r="I13" i="6" s="1"/>
  <c r="K13" i="6" s="1"/>
  <c r="M13" i="6" s="1"/>
  <c r="O13" i="6" s="1"/>
  <c r="Q13" i="6" s="1"/>
  <c r="S13" i="6" s="1"/>
  <c r="U13" i="6" s="1"/>
  <c r="W13" i="6" s="1"/>
  <c r="Y13" i="6" s="1"/>
  <c r="AA13" i="6" s="1"/>
  <c r="AC13" i="6" s="1"/>
  <c r="AE13" i="6" s="1"/>
  <c r="AG13" i="6" s="1"/>
  <c r="D12" i="6"/>
  <c r="F12" i="6" s="1"/>
  <c r="H12" i="6" s="1"/>
  <c r="J12" i="6" s="1"/>
  <c r="L12" i="6" s="1"/>
  <c r="N12" i="6" s="1"/>
  <c r="P12" i="6" s="1"/>
  <c r="R12" i="6" s="1"/>
  <c r="T12" i="6" s="1"/>
  <c r="V12" i="6" s="1"/>
  <c r="X12" i="6" s="1"/>
  <c r="Z12" i="6" s="1"/>
  <c r="AB12" i="6" s="1"/>
  <c r="AD12" i="6" s="1"/>
  <c r="AF12" i="6" s="1"/>
  <c r="D13" i="6"/>
  <c r="F13" i="6" s="1"/>
  <c r="H13" i="6" s="1"/>
  <c r="J13" i="6" s="1"/>
  <c r="L13" i="6" s="1"/>
  <c r="N13" i="6" s="1"/>
  <c r="P13" i="6" s="1"/>
  <c r="R13" i="6" s="1"/>
  <c r="T13" i="6" s="1"/>
  <c r="V13" i="6" s="1"/>
  <c r="X13" i="6" s="1"/>
  <c r="Z13" i="6" s="1"/>
  <c r="AB13" i="6" s="1"/>
  <c r="AD13" i="6" s="1"/>
  <c r="AF13" i="6" s="1"/>
  <c r="D14" i="6"/>
  <c r="F14" i="6" s="1"/>
  <c r="H14" i="6" s="1"/>
  <c r="J14" i="6" s="1"/>
  <c r="L14" i="6" s="1"/>
  <c r="N14" i="6" s="1"/>
  <c r="P14" i="6" s="1"/>
  <c r="R14" i="6" s="1"/>
  <c r="T14" i="6" s="1"/>
  <c r="V14" i="6" s="1"/>
  <c r="X14" i="6" s="1"/>
  <c r="Z14" i="6" s="1"/>
  <c r="AB14" i="6" s="1"/>
  <c r="AD14" i="6" s="1"/>
  <c r="AF14" i="6" s="1"/>
  <c r="D15" i="6"/>
  <c r="F15" i="6" s="1"/>
  <c r="H15" i="6" s="1"/>
  <c r="J15" i="6" s="1"/>
  <c r="L15" i="6" s="1"/>
  <c r="N15" i="6" s="1"/>
  <c r="P15" i="6" s="1"/>
  <c r="R15" i="6" s="1"/>
  <c r="T15" i="6" s="1"/>
  <c r="V15" i="6" s="1"/>
  <c r="X15" i="6" s="1"/>
  <c r="Z15" i="6" s="1"/>
  <c r="AB15" i="6" s="1"/>
  <c r="AD15" i="6" s="1"/>
  <c r="AF15" i="6" s="1"/>
  <c r="D16" i="6"/>
  <c r="F16" i="6" s="1"/>
  <c r="H16" i="6" s="1"/>
  <c r="J16" i="6" s="1"/>
  <c r="L16" i="6" s="1"/>
  <c r="N16" i="6" s="1"/>
  <c r="P16" i="6" s="1"/>
  <c r="R16" i="6" s="1"/>
  <c r="T16" i="6" s="1"/>
  <c r="V16" i="6" s="1"/>
  <c r="X16" i="6" s="1"/>
  <c r="Z16" i="6" s="1"/>
  <c r="AB16" i="6" s="1"/>
  <c r="AD16" i="6" s="1"/>
  <c r="AF16" i="6" s="1"/>
  <c r="D17" i="6"/>
  <c r="F17" i="6" s="1"/>
  <c r="H17" i="6" s="1"/>
  <c r="J17" i="6" s="1"/>
  <c r="L17" i="6" s="1"/>
  <c r="N17" i="6" s="1"/>
  <c r="P17" i="6" s="1"/>
  <c r="R17" i="6" s="1"/>
  <c r="T17" i="6" s="1"/>
  <c r="V17" i="6" s="1"/>
  <c r="X17" i="6" s="1"/>
  <c r="Z17" i="6" s="1"/>
  <c r="AB17" i="6" s="1"/>
  <c r="AD17" i="6" s="1"/>
  <c r="AF17" i="6" s="1"/>
  <c r="D18" i="6"/>
  <c r="F18" i="6" s="1"/>
  <c r="H18" i="6" s="1"/>
  <c r="J18" i="6" s="1"/>
  <c r="L18" i="6" s="1"/>
  <c r="N18" i="6" s="1"/>
  <c r="P18" i="6" s="1"/>
  <c r="R18" i="6" s="1"/>
  <c r="T18" i="6" s="1"/>
  <c r="V18" i="6" s="1"/>
  <c r="X18" i="6" s="1"/>
  <c r="Z18" i="6" s="1"/>
  <c r="AB18" i="6" s="1"/>
  <c r="AD18" i="6" s="1"/>
  <c r="AF18" i="6" s="1"/>
  <c r="D19" i="6"/>
  <c r="F19" i="6" s="1"/>
  <c r="H19" i="6" s="1"/>
  <c r="J19" i="6" s="1"/>
  <c r="L19" i="6" s="1"/>
  <c r="N19" i="6" s="1"/>
  <c r="P19" i="6" s="1"/>
  <c r="R19" i="6" s="1"/>
  <c r="T19" i="6" s="1"/>
  <c r="V19" i="6" s="1"/>
  <c r="X19" i="6" s="1"/>
  <c r="Z19" i="6" s="1"/>
  <c r="AB19" i="6" s="1"/>
  <c r="AD19" i="6" s="1"/>
  <c r="AF19" i="6" s="1"/>
  <c r="D20" i="6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Z20" i="6" s="1"/>
  <c r="AB20" i="6" s="1"/>
  <c r="AD20" i="6" s="1"/>
  <c r="AF20" i="6" s="1"/>
  <c r="D21" i="6"/>
  <c r="F21" i="6" s="1"/>
  <c r="H21" i="6" s="1"/>
  <c r="J21" i="6" s="1"/>
  <c r="L21" i="6" s="1"/>
  <c r="N21" i="6" s="1"/>
  <c r="P21" i="6" s="1"/>
  <c r="R21" i="6" s="1"/>
  <c r="T21" i="6" s="1"/>
  <c r="V21" i="6" s="1"/>
  <c r="X21" i="6" s="1"/>
  <c r="Z21" i="6" s="1"/>
  <c r="AB21" i="6" s="1"/>
  <c r="AD21" i="6" s="1"/>
  <c r="AF21" i="6" s="1"/>
  <c r="D22" i="6"/>
  <c r="F22" i="6" s="1"/>
  <c r="H22" i="6" s="1"/>
  <c r="J22" i="6" s="1"/>
  <c r="L22" i="6" s="1"/>
  <c r="N22" i="6" s="1"/>
  <c r="P22" i="6" s="1"/>
  <c r="R22" i="6" s="1"/>
  <c r="T22" i="6" s="1"/>
  <c r="V22" i="6" s="1"/>
  <c r="X22" i="6" s="1"/>
  <c r="Z22" i="6" s="1"/>
  <c r="AB22" i="6" s="1"/>
  <c r="AD22" i="6" s="1"/>
  <c r="AF22" i="6" s="1"/>
  <c r="D23" i="6"/>
  <c r="F23" i="6" s="1"/>
  <c r="H23" i="6" s="1"/>
  <c r="J23" i="6" s="1"/>
  <c r="L23" i="6" s="1"/>
  <c r="N23" i="6" s="1"/>
  <c r="P23" i="6" s="1"/>
  <c r="R23" i="6" s="1"/>
  <c r="T23" i="6" s="1"/>
  <c r="V23" i="6" s="1"/>
  <c r="X23" i="6" s="1"/>
  <c r="Z23" i="6" s="1"/>
  <c r="AB23" i="6" s="1"/>
  <c r="AD23" i="6" s="1"/>
  <c r="AF23" i="6" s="1"/>
  <c r="D24" i="6"/>
  <c r="F24" i="6" s="1"/>
  <c r="H24" i="6" s="1"/>
  <c r="J24" i="6" s="1"/>
  <c r="L24" i="6" s="1"/>
  <c r="N24" i="6" s="1"/>
  <c r="P24" i="6" s="1"/>
  <c r="R24" i="6" s="1"/>
  <c r="T24" i="6" s="1"/>
  <c r="V24" i="6" s="1"/>
  <c r="X24" i="6" s="1"/>
  <c r="Z24" i="6" s="1"/>
  <c r="AB24" i="6" s="1"/>
  <c r="AD24" i="6" s="1"/>
  <c r="AF24" i="6" s="1"/>
  <c r="D25" i="6"/>
  <c r="F25" i="6" s="1"/>
  <c r="H25" i="6" s="1"/>
  <c r="J25" i="6" s="1"/>
  <c r="L25" i="6" s="1"/>
  <c r="N25" i="6" s="1"/>
  <c r="P25" i="6" s="1"/>
  <c r="R25" i="6" s="1"/>
  <c r="T25" i="6" s="1"/>
  <c r="V25" i="6" s="1"/>
  <c r="X25" i="6" s="1"/>
  <c r="Z25" i="6" s="1"/>
  <c r="AB25" i="6" s="1"/>
  <c r="AD25" i="6" s="1"/>
  <c r="AF25" i="6" s="1"/>
  <c r="D26" i="6"/>
  <c r="F26" i="6" s="1"/>
  <c r="H26" i="6" s="1"/>
  <c r="J26" i="6" s="1"/>
  <c r="L26" i="6" s="1"/>
  <c r="N26" i="6" s="1"/>
  <c r="P26" i="6" s="1"/>
  <c r="R26" i="6" s="1"/>
  <c r="T26" i="6" s="1"/>
  <c r="V26" i="6" s="1"/>
  <c r="X26" i="6" s="1"/>
  <c r="Z26" i="6" s="1"/>
  <c r="AB26" i="6" s="1"/>
  <c r="AD26" i="6" s="1"/>
  <c r="AF26" i="6" s="1"/>
  <c r="D27" i="6"/>
  <c r="F27" i="6" s="1"/>
  <c r="H27" i="6" s="1"/>
  <c r="J27" i="6" s="1"/>
  <c r="L27" i="6" s="1"/>
  <c r="N27" i="6" s="1"/>
  <c r="P27" i="6" s="1"/>
  <c r="R27" i="6" s="1"/>
  <c r="T27" i="6" s="1"/>
  <c r="V27" i="6" s="1"/>
  <c r="X27" i="6" s="1"/>
  <c r="Z27" i="6" s="1"/>
  <c r="AB27" i="6" s="1"/>
  <c r="AD27" i="6" s="1"/>
  <c r="AF27" i="6" s="1"/>
  <c r="D28" i="6"/>
  <c r="F28" i="6" s="1"/>
  <c r="H28" i="6" s="1"/>
  <c r="J28" i="6" s="1"/>
  <c r="L28" i="6" s="1"/>
  <c r="N28" i="6" s="1"/>
  <c r="P28" i="6" s="1"/>
  <c r="R28" i="6" s="1"/>
  <c r="T28" i="6" s="1"/>
  <c r="V28" i="6" s="1"/>
  <c r="X28" i="6" s="1"/>
  <c r="Z28" i="6" s="1"/>
  <c r="AB28" i="6" s="1"/>
  <c r="AD28" i="6" s="1"/>
  <c r="AF28" i="6" s="1"/>
  <c r="D29" i="6"/>
  <c r="F29" i="6" s="1"/>
  <c r="H29" i="6" s="1"/>
  <c r="J29" i="6" s="1"/>
  <c r="L29" i="6" s="1"/>
  <c r="N29" i="6" s="1"/>
  <c r="P29" i="6" s="1"/>
  <c r="R29" i="6" s="1"/>
  <c r="T29" i="6" s="1"/>
  <c r="V29" i="6" s="1"/>
  <c r="X29" i="6" s="1"/>
  <c r="Z29" i="6" s="1"/>
  <c r="AB29" i="6" s="1"/>
  <c r="AD29" i="6" s="1"/>
  <c r="AF29" i="6" s="1"/>
  <c r="D30" i="6"/>
  <c r="F30" i="6" s="1"/>
  <c r="H30" i="6" s="1"/>
  <c r="J30" i="6" s="1"/>
  <c r="L30" i="6" s="1"/>
  <c r="N30" i="6" s="1"/>
  <c r="P30" i="6" s="1"/>
  <c r="R30" i="6" s="1"/>
  <c r="T30" i="6" s="1"/>
  <c r="V30" i="6" s="1"/>
  <c r="X30" i="6" s="1"/>
  <c r="Z30" i="6" s="1"/>
  <c r="AB30" i="6" s="1"/>
  <c r="AD30" i="6" s="1"/>
  <c r="AF30" i="6" s="1"/>
  <c r="D11" i="6"/>
  <c r="F11" i="6" s="1"/>
  <c r="H11" i="6" s="1"/>
  <c r="J11" i="6" s="1"/>
  <c r="L11" i="6" s="1"/>
  <c r="N11" i="6" s="1"/>
  <c r="P11" i="6" s="1"/>
  <c r="R11" i="6" s="1"/>
  <c r="T11" i="6" s="1"/>
  <c r="V11" i="6" s="1"/>
  <c r="X11" i="6" s="1"/>
  <c r="Z11" i="6" s="1"/>
  <c r="AB11" i="6" s="1"/>
  <c r="AD11" i="6" s="1"/>
  <c r="AF11" i="6" s="1"/>
  <c r="K874" i="1"/>
  <c r="E874" i="1"/>
  <c r="D874" i="1"/>
  <c r="B874" i="1"/>
  <c r="K873" i="1"/>
  <c r="E873" i="1"/>
  <c r="D873" i="1"/>
  <c r="B873" i="1"/>
  <c r="K872" i="1"/>
  <c r="E872" i="1"/>
  <c r="D872" i="1"/>
  <c r="B872" i="1"/>
  <c r="K871" i="1"/>
  <c r="E871" i="1"/>
  <c r="D871" i="1"/>
  <c r="B871" i="1"/>
  <c r="K870" i="1"/>
  <c r="E870" i="1"/>
  <c r="D870" i="1"/>
  <c r="B870" i="1"/>
  <c r="K869" i="1"/>
  <c r="E869" i="1"/>
  <c r="D869" i="1"/>
  <c r="B869" i="1"/>
  <c r="K868" i="1"/>
  <c r="E868" i="1"/>
  <c r="D868" i="1"/>
  <c r="B868" i="1"/>
  <c r="K867" i="1"/>
  <c r="E867" i="1"/>
  <c r="D867" i="1"/>
  <c r="B867" i="1"/>
  <c r="K866" i="1"/>
  <c r="E866" i="1"/>
  <c r="D866" i="1"/>
  <c r="B866" i="1"/>
  <c r="K865" i="1"/>
  <c r="E865" i="1"/>
  <c r="D865" i="1"/>
  <c r="B865" i="1"/>
  <c r="K864" i="1"/>
  <c r="E864" i="1"/>
  <c r="D864" i="1"/>
  <c r="B864" i="1"/>
  <c r="K863" i="1"/>
  <c r="E863" i="1"/>
  <c r="D863" i="1"/>
  <c r="B863" i="1"/>
  <c r="K862" i="1"/>
  <c r="E862" i="1"/>
  <c r="D862" i="1"/>
  <c r="B862" i="1"/>
  <c r="K861" i="1"/>
  <c r="E861" i="1"/>
  <c r="D861" i="1"/>
  <c r="B861" i="1"/>
  <c r="K860" i="1"/>
  <c r="E860" i="1"/>
  <c r="D860" i="1"/>
  <c r="B860" i="1"/>
  <c r="K859" i="1"/>
  <c r="E859" i="1"/>
  <c r="D859" i="1"/>
  <c r="B859" i="1"/>
  <c r="K858" i="1"/>
  <c r="E858" i="1"/>
  <c r="D858" i="1"/>
  <c r="B858" i="1"/>
  <c r="K857" i="1"/>
  <c r="E857" i="1"/>
  <c r="D857" i="1"/>
  <c r="B857" i="1"/>
  <c r="K856" i="1"/>
  <c r="E856" i="1"/>
  <c r="D856" i="1"/>
  <c r="B856" i="1"/>
  <c r="K855" i="1"/>
  <c r="E855" i="1"/>
  <c r="D855" i="1"/>
  <c r="B855" i="1"/>
  <c r="K854" i="1"/>
  <c r="E854" i="1"/>
  <c r="D854" i="1"/>
  <c r="B854" i="1"/>
  <c r="K853" i="1"/>
  <c r="E853" i="1"/>
  <c r="D853" i="1"/>
  <c r="B853" i="1"/>
  <c r="K852" i="1"/>
  <c r="E852" i="1"/>
  <c r="D852" i="1"/>
  <c r="B852" i="1"/>
  <c r="AG281" i="6"/>
  <c r="AG231" i="6"/>
  <c r="AG156" i="6"/>
  <c r="AH304" i="6" l="1"/>
  <c r="C156" i="6"/>
  <c r="AH167" i="6"/>
  <c r="I156" i="6"/>
  <c r="AH303" i="6"/>
  <c r="AH295" i="6"/>
  <c r="AH287" i="6"/>
  <c r="AH241" i="6"/>
  <c r="X131" i="6"/>
  <c r="AF156" i="6"/>
  <c r="E181" i="6"/>
  <c r="AG181" i="6"/>
  <c r="AH165" i="6"/>
  <c r="AH296" i="6"/>
  <c r="AH288" i="6"/>
  <c r="AH123" i="6"/>
  <c r="AH194" i="6"/>
  <c r="G156" i="6"/>
  <c r="O156" i="6"/>
  <c r="W156" i="6"/>
  <c r="AE156" i="6"/>
  <c r="AH141" i="6"/>
  <c r="AH175" i="6"/>
  <c r="AH173" i="6"/>
  <c r="I306" i="6"/>
  <c r="Q306" i="6"/>
  <c r="Y306" i="6"/>
  <c r="AG306" i="6"/>
  <c r="AH305" i="6"/>
  <c r="AH302" i="6"/>
  <c r="AH301" i="6"/>
  <c r="AH300" i="6"/>
  <c r="AH299" i="6"/>
  <c r="AH298" i="6"/>
  <c r="AH297" i="6"/>
  <c r="AH294" i="6"/>
  <c r="AH293" i="6"/>
  <c r="AH292" i="6"/>
  <c r="AH291" i="6"/>
  <c r="AH290" i="6"/>
  <c r="AH289" i="6"/>
  <c r="E281" i="6"/>
  <c r="M281" i="6"/>
  <c r="U281" i="6"/>
  <c r="AC281" i="6"/>
  <c r="AH276" i="6"/>
  <c r="AH268" i="6"/>
  <c r="AH250" i="6"/>
  <c r="AH249" i="6"/>
  <c r="AH242" i="6"/>
  <c r="AH224" i="6"/>
  <c r="AH216" i="6"/>
  <c r="AH115" i="6"/>
  <c r="AH202" i="6"/>
  <c r="AH149" i="6"/>
  <c r="D156" i="6"/>
  <c r="I181" i="6"/>
  <c r="Q181" i="6"/>
  <c r="Y181" i="6"/>
  <c r="AH130" i="6"/>
  <c r="AH128" i="6"/>
  <c r="AH127" i="6"/>
  <c r="AH126" i="6"/>
  <c r="AH125" i="6"/>
  <c r="AH122" i="6"/>
  <c r="AH120" i="6"/>
  <c r="AH119" i="6"/>
  <c r="AH118" i="6"/>
  <c r="AH117" i="6"/>
  <c r="AH114" i="6"/>
  <c r="AH112" i="6"/>
  <c r="AH178" i="6"/>
  <c r="AH177" i="6"/>
  <c r="AH176" i="6"/>
  <c r="AH174" i="6"/>
  <c r="AH172" i="6"/>
  <c r="AH171" i="6"/>
  <c r="AH170" i="6"/>
  <c r="AH169" i="6"/>
  <c r="AH168" i="6"/>
  <c r="AH166" i="6"/>
  <c r="R181" i="6"/>
  <c r="AH164" i="6"/>
  <c r="AH163" i="6"/>
  <c r="X181" i="6"/>
  <c r="AH162" i="6"/>
  <c r="F256" i="6"/>
  <c r="N256" i="6"/>
  <c r="V256" i="6"/>
  <c r="AD256" i="6"/>
  <c r="AH253" i="6"/>
  <c r="C306" i="6"/>
  <c r="K306" i="6"/>
  <c r="S306" i="6"/>
  <c r="AA306" i="6"/>
  <c r="G281" i="6"/>
  <c r="O281" i="6"/>
  <c r="W281" i="6"/>
  <c r="AE281" i="6"/>
  <c r="G256" i="6"/>
  <c r="O256" i="6"/>
  <c r="W256" i="6"/>
  <c r="AE256" i="6"/>
  <c r="AH254" i="6"/>
  <c r="AH251" i="6"/>
  <c r="AH246" i="6"/>
  <c r="AH243" i="6"/>
  <c r="AH238" i="6"/>
  <c r="K231" i="6"/>
  <c r="S231" i="6"/>
  <c r="AA231" i="6"/>
  <c r="AH225" i="6"/>
  <c r="AH217" i="6"/>
  <c r="AH213" i="6"/>
  <c r="AH212" i="6"/>
  <c r="G206" i="6"/>
  <c r="O206" i="6"/>
  <c r="W206" i="6"/>
  <c r="AE206" i="6"/>
  <c r="AH205" i="6"/>
  <c r="AH204" i="6"/>
  <c r="AH203" i="6"/>
  <c r="AH201" i="6"/>
  <c r="AH200" i="6"/>
  <c r="AH199" i="6"/>
  <c r="AH198" i="6"/>
  <c r="AH197" i="6"/>
  <c r="AH196" i="6"/>
  <c r="AH195" i="6"/>
  <c r="I206" i="6"/>
  <c r="AH193" i="6"/>
  <c r="AH192" i="6"/>
  <c r="AH191" i="6"/>
  <c r="M206" i="6"/>
  <c r="AH190" i="6"/>
  <c r="AH189" i="6"/>
  <c r="AH188" i="6"/>
  <c r="AH187" i="6"/>
  <c r="K156" i="6"/>
  <c r="S156" i="6"/>
  <c r="AA156" i="6"/>
  <c r="AH155" i="6"/>
  <c r="AH154" i="6"/>
  <c r="AH153" i="6"/>
  <c r="AH152" i="6"/>
  <c r="AH151" i="6"/>
  <c r="AH150" i="6"/>
  <c r="AH148" i="6"/>
  <c r="AH147" i="6"/>
  <c r="AH146" i="6"/>
  <c r="AH145" i="6"/>
  <c r="AH144" i="6"/>
  <c r="AH143" i="6"/>
  <c r="AH142" i="6"/>
  <c r="AH140" i="6"/>
  <c r="AD156" i="6"/>
  <c r="AH139" i="6"/>
  <c r="AH138" i="6"/>
  <c r="AH137" i="6"/>
  <c r="D306" i="6"/>
  <c r="L306" i="6"/>
  <c r="T306" i="6"/>
  <c r="AB306" i="6"/>
  <c r="AH255" i="6"/>
  <c r="AH252" i="6"/>
  <c r="AH248" i="6"/>
  <c r="AH247" i="6"/>
  <c r="AH245" i="6"/>
  <c r="AH244" i="6"/>
  <c r="AH240" i="6"/>
  <c r="AH239" i="6"/>
  <c r="AH237" i="6"/>
  <c r="AH230" i="6"/>
  <c r="AH229" i="6"/>
  <c r="AH228" i="6"/>
  <c r="AH227" i="6"/>
  <c r="AH226" i="6"/>
  <c r="AH223" i="6"/>
  <c r="AH222" i="6"/>
  <c r="AH221" i="6"/>
  <c r="AH220" i="6"/>
  <c r="AH219" i="6"/>
  <c r="AH218" i="6"/>
  <c r="AE231" i="6"/>
  <c r="AH215" i="6"/>
  <c r="AH214" i="6"/>
  <c r="E306" i="6"/>
  <c r="M306" i="6"/>
  <c r="U306" i="6"/>
  <c r="AC306" i="6"/>
  <c r="I281" i="6"/>
  <c r="E156" i="6"/>
  <c r="M156" i="6"/>
  <c r="U156" i="6"/>
  <c r="AC156" i="6"/>
  <c r="F306" i="6"/>
  <c r="N306" i="6"/>
  <c r="G306" i="6"/>
  <c r="O306" i="6"/>
  <c r="C281" i="6"/>
  <c r="K281" i="6"/>
  <c r="S281" i="6"/>
  <c r="AA281" i="6"/>
  <c r="AH280" i="6"/>
  <c r="AH279" i="6"/>
  <c r="AH278" i="6"/>
  <c r="AH277" i="6"/>
  <c r="AH275" i="6"/>
  <c r="AH274" i="6"/>
  <c r="AR24" i="6" s="1"/>
  <c r="AH273" i="6"/>
  <c r="AH272" i="6"/>
  <c r="AH271" i="6"/>
  <c r="AH270" i="6"/>
  <c r="AH269" i="6"/>
  <c r="AH267" i="6"/>
  <c r="AH266" i="6"/>
  <c r="AH265" i="6"/>
  <c r="AH264" i="6"/>
  <c r="AH263" i="6"/>
  <c r="AH262" i="6"/>
  <c r="G131" i="6"/>
  <c r="O131" i="6"/>
  <c r="W131" i="6"/>
  <c r="AE131" i="6"/>
  <c r="AH129" i="6"/>
  <c r="AH124" i="6"/>
  <c r="AH121" i="6"/>
  <c r="AH116" i="6"/>
  <c r="AH113" i="6"/>
  <c r="G181" i="6"/>
  <c r="O181" i="6"/>
  <c r="W181" i="6"/>
  <c r="AE181" i="6"/>
  <c r="AH180" i="6"/>
  <c r="AH179" i="6"/>
  <c r="H181" i="6"/>
  <c r="P181" i="6"/>
  <c r="AF181" i="6"/>
  <c r="Z181" i="6"/>
  <c r="C181" i="6"/>
  <c r="K181" i="6"/>
  <c r="S181" i="6"/>
  <c r="AA181" i="6"/>
  <c r="D181" i="6"/>
  <c r="L181" i="6"/>
  <c r="T181" i="6"/>
  <c r="AB181" i="6"/>
  <c r="M181" i="6"/>
  <c r="U181" i="6"/>
  <c r="AC181" i="6"/>
  <c r="F181" i="6"/>
  <c r="N181" i="6"/>
  <c r="V181" i="6"/>
  <c r="AD181" i="6"/>
  <c r="AH161" i="6"/>
  <c r="L156" i="6"/>
  <c r="T156" i="6"/>
  <c r="AB156" i="6"/>
  <c r="F156" i="6"/>
  <c r="N156" i="6"/>
  <c r="V156" i="6"/>
  <c r="H156" i="6"/>
  <c r="P156" i="6"/>
  <c r="X156" i="6"/>
  <c r="Q156" i="6"/>
  <c r="Y156" i="6"/>
  <c r="J156" i="6"/>
  <c r="R156" i="6"/>
  <c r="Z156" i="6"/>
  <c r="H206" i="6"/>
  <c r="P206" i="6"/>
  <c r="X206" i="6"/>
  <c r="AF206" i="6"/>
  <c r="Q206" i="6"/>
  <c r="Y206" i="6"/>
  <c r="AG206" i="6"/>
  <c r="J206" i="6"/>
  <c r="R206" i="6"/>
  <c r="Z206" i="6"/>
  <c r="C206" i="6"/>
  <c r="K206" i="6"/>
  <c r="S206" i="6"/>
  <c r="AA206" i="6"/>
  <c r="L206" i="6"/>
  <c r="T206" i="6"/>
  <c r="AB206" i="6"/>
  <c r="E206" i="6"/>
  <c r="U206" i="6"/>
  <c r="AC206" i="6"/>
  <c r="F206" i="6"/>
  <c r="N206" i="6"/>
  <c r="V206" i="6"/>
  <c r="AD206" i="6"/>
  <c r="AH186" i="6"/>
  <c r="D206" i="6"/>
  <c r="H131" i="6"/>
  <c r="I131" i="6"/>
  <c r="Q131" i="6"/>
  <c r="Y131" i="6"/>
  <c r="AG131" i="6"/>
  <c r="J131" i="6"/>
  <c r="R131" i="6"/>
  <c r="Z131" i="6"/>
  <c r="C131" i="6"/>
  <c r="K131" i="6"/>
  <c r="S131" i="6"/>
  <c r="AA131" i="6"/>
  <c r="L131" i="6"/>
  <c r="T131" i="6"/>
  <c r="AB131" i="6"/>
  <c r="P131" i="6"/>
  <c r="E131" i="6"/>
  <c r="M131" i="6"/>
  <c r="U131" i="6"/>
  <c r="AC131" i="6"/>
  <c r="AF131" i="6"/>
  <c r="F131" i="6"/>
  <c r="N131" i="6"/>
  <c r="V131" i="6"/>
  <c r="AD131" i="6"/>
  <c r="AH111" i="6"/>
  <c r="AB231" i="6"/>
  <c r="L231" i="6"/>
  <c r="E231" i="6"/>
  <c r="M231" i="6"/>
  <c r="U231" i="6"/>
  <c r="AC231" i="6"/>
  <c r="F231" i="6"/>
  <c r="N231" i="6"/>
  <c r="V231" i="6"/>
  <c r="AD231" i="6"/>
  <c r="D231" i="6"/>
  <c r="G231" i="6"/>
  <c r="O231" i="6"/>
  <c r="W231" i="6"/>
  <c r="H231" i="6"/>
  <c r="P231" i="6"/>
  <c r="X231" i="6"/>
  <c r="AF231" i="6"/>
  <c r="T231" i="6"/>
  <c r="I231" i="6"/>
  <c r="Q231" i="6"/>
  <c r="Y231" i="6"/>
  <c r="J231" i="6"/>
  <c r="R231" i="6"/>
  <c r="Z231" i="6"/>
  <c r="AH211" i="6"/>
  <c r="I256" i="6"/>
  <c r="Q256" i="6"/>
  <c r="Y256" i="6"/>
  <c r="AG256" i="6"/>
  <c r="J256" i="6"/>
  <c r="R256" i="6"/>
  <c r="Z256" i="6"/>
  <c r="H256" i="6"/>
  <c r="P256" i="6"/>
  <c r="AF256" i="6"/>
  <c r="C256" i="6"/>
  <c r="K256" i="6"/>
  <c r="S256" i="6"/>
  <c r="AA256" i="6"/>
  <c r="X256" i="6"/>
  <c r="D256" i="6"/>
  <c r="L256" i="6"/>
  <c r="T256" i="6"/>
  <c r="AB256" i="6"/>
  <c r="E256" i="6"/>
  <c r="M256" i="6"/>
  <c r="U256" i="6"/>
  <c r="AC256" i="6"/>
  <c r="L281" i="6"/>
  <c r="T281" i="6"/>
  <c r="AB281" i="6"/>
  <c r="F281" i="6"/>
  <c r="N281" i="6"/>
  <c r="V281" i="6"/>
  <c r="AD281" i="6"/>
  <c r="H281" i="6"/>
  <c r="P281" i="6"/>
  <c r="X281" i="6"/>
  <c r="AF281" i="6"/>
  <c r="Q281" i="6"/>
  <c r="Y281" i="6"/>
  <c r="J281" i="6"/>
  <c r="R281" i="6"/>
  <c r="Z281" i="6"/>
  <c r="AH261" i="6"/>
  <c r="W306" i="6"/>
  <c r="AE306" i="6"/>
  <c r="H306" i="6"/>
  <c r="P306" i="6"/>
  <c r="X306" i="6"/>
  <c r="AF306" i="6"/>
  <c r="J306" i="6"/>
  <c r="R306" i="6"/>
  <c r="Z306" i="6"/>
  <c r="V306" i="6"/>
  <c r="AD306" i="6"/>
  <c r="AH286" i="6"/>
  <c r="D281" i="6"/>
  <c r="AH236" i="6"/>
  <c r="C231" i="6"/>
  <c r="J181" i="6"/>
  <c r="AH136" i="6"/>
  <c r="D131" i="6"/>
  <c r="AR25" i="6" l="1"/>
  <c r="AP21" i="6"/>
  <c r="AR27" i="6"/>
  <c r="AR22" i="6"/>
  <c r="AR28" i="6"/>
  <c r="AR23" i="6"/>
  <c r="AR12" i="6"/>
  <c r="AP30" i="6"/>
  <c r="AR14" i="6"/>
  <c r="AP23" i="6"/>
  <c r="AP12" i="6"/>
  <c r="AH306" i="6"/>
  <c r="AP22" i="6"/>
  <c r="AR13" i="6"/>
  <c r="AP15" i="6"/>
  <c r="AR26" i="6"/>
  <c r="AP19" i="6"/>
  <c r="AR18" i="6"/>
  <c r="AP24" i="6"/>
  <c r="AR21" i="6"/>
  <c r="AR17" i="6"/>
  <c r="AP20" i="6"/>
  <c r="AR16" i="6"/>
  <c r="AR20" i="6"/>
  <c r="AP25" i="6"/>
  <c r="AR29" i="6"/>
  <c r="AP18" i="6"/>
  <c r="AP28" i="6"/>
  <c r="AR30" i="6"/>
  <c r="AP14" i="6"/>
  <c r="AR15" i="6"/>
  <c r="AP26" i="6"/>
  <c r="AR19" i="6"/>
  <c r="AP13" i="6"/>
  <c r="AP29" i="6"/>
  <c r="AP17" i="6"/>
  <c r="AP16" i="6"/>
  <c r="AP27" i="6"/>
  <c r="AH131" i="6"/>
  <c r="AH256" i="6"/>
  <c r="AH181" i="6"/>
  <c r="AH206" i="6"/>
  <c r="AH156" i="6"/>
  <c r="AH281" i="6"/>
  <c r="AH231" i="6"/>
  <c r="AP11" i="6"/>
  <c r="AR11" i="6"/>
  <c r="AR31" i="6" l="1"/>
  <c r="AS21" i="6" s="1"/>
  <c r="AP31" i="6"/>
  <c r="AQ29" i="6" s="1"/>
  <c r="AS13" i="6" l="1"/>
  <c r="AQ24" i="6"/>
  <c r="AS11" i="6"/>
  <c r="AS24" i="6"/>
  <c r="AS26" i="6"/>
  <c r="AS22" i="6"/>
  <c r="AS19" i="6"/>
  <c r="AS29" i="6"/>
  <c r="AS14" i="6"/>
  <c r="AS20" i="6"/>
  <c r="AS15" i="6"/>
  <c r="AS27" i="6"/>
  <c r="AQ30" i="6"/>
  <c r="AS18" i="6"/>
  <c r="AQ27" i="6"/>
  <c r="AQ17" i="6"/>
  <c r="AS17" i="6"/>
  <c r="AS12" i="6"/>
  <c r="AQ18" i="6"/>
  <c r="AQ15" i="6"/>
  <c r="AQ19" i="6"/>
  <c r="AS28" i="6"/>
  <c r="AS30" i="6"/>
  <c r="AS16" i="6"/>
  <c r="AQ23" i="6"/>
  <c r="AS23" i="6"/>
  <c r="AS25" i="6"/>
  <c r="AQ21" i="6"/>
  <c r="AQ25" i="6"/>
  <c r="AQ11" i="6"/>
  <c r="AQ28" i="6"/>
  <c r="AQ13" i="6"/>
  <c r="AQ20" i="6"/>
  <c r="AQ14" i="6"/>
  <c r="AQ22" i="6"/>
  <c r="AQ12" i="6"/>
  <c r="AQ26" i="6"/>
  <c r="AQ1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H105" i="6"/>
  <c r="AN30" i="6" s="1"/>
  <c r="AH104" i="6"/>
  <c r="AN29" i="6" s="1"/>
  <c r="AH103" i="6"/>
  <c r="AN28" i="6" s="1"/>
  <c r="AH102" i="6"/>
  <c r="AN27" i="6" s="1"/>
  <c r="AH101" i="6"/>
  <c r="AN26" i="6" s="1"/>
  <c r="AH100" i="6"/>
  <c r="AN25" i="6" s="1"/>
  <c r="AH99" i="6"/>
  <c r="AN24" i="6" s="1"/>
  <c r="AH98" i="6"/>
  <c r="AN23" i="6" s="1"/>
  <c r="AH97" i="6"/>
  <c r="AN22" i="6" s="1"/>
  <c r="AH96" i="6"/>
  <c r="AN21" i="6" s="1"/>
  <c r="AH95" i="6"/>
  <c r="AN20" i="6" s="1"/>
  <c r="AH94" i="6"/>
  <c r="AN19" i="6" s="1"/>
  <c r="AH93" i="6"/>
  <c r="AN18" i="6" s="1"/>
  <c r="AH92" i="6"/>
  <c r="AN17" i="6" s="1"/>
  <c r="AH91" i="6"/>
  <c r="AN16" i="6" s="1"/>
  <c r="AH90" i="6"/>
  <c r="AN15" i="6" s="1"/>
  <c r="AH89" i="6"/>
  <c r="AN14" i="6" s="1"/>
  <c r="AH88" i="6"/>
  <c r="AN13" i="6" s="1"/>
  <c r="AH87" i="6"/>
  <c r="AN12" i="6" s="1"/>
  <c r="AH86" i="6"/>
  <c r="AN11" i="6" s="1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AH80" i="6"/>
  <c r="AH79" i="6"/>
  <c r="AH78" i="6"/>
  <c r="AH77" i="6"/>
  <c r="AH76" i="6"/>
  <c r="AH75" i="6"/>
  <c r="AH74" i="6"/>
  <c r="AH73" i="6"/>
  <c r="AH72" i="6"/>
  <c r="AH71" i="6"/>
  <c r="AH70" i="6"/>
  <c r="AH69" i="6"/>
  <c r="AH68" i="6"/>
  <c r="AH67" i="6"/>
  <c r="AH66" i="6"/>
  <c r="AH65" i="6"/>
  <c r="AH64" i="6"/>
  <c r="AH63" i="6"/>
  <c r="AH62" i="6"/>
  <c r="AH61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AH55" i="6"/>
  <c r="AH54" i="6"/>
  <c r="AH53" i="6"/>
  <c r="AH52" i="6"/>
  <c r="AH51" i="6"/>
  <c r="AH50" i="6"/>
  <c r="AH49" i="6"/>
  <c r="AH48" i="6"/>
  <c r="AH47" i="6"/>
  <c r="AH46" i="6"/>
  <c r="AH45" i="6"/>
  <c r="AH44" i="6"/>
  <c r="AH43" i="6"/>
  <c r="AH42" i="6"/>
  <c r="AH41" i="6"/>
  <c r="AH40" i="6"/>
  <c r="AH39" i="6"/>
  <c r="AH38" i="6"/>
  <c r="AH37" i="6"/>
  <c r="AH36" i="6"/>
  <c r="AN31" i="6" l="1"/>
  <c r="AO18" i="6" s="1"/>
  <c r="AH81" i="6"/>
  <c r="AH106" i="6"/>
  <c r="AH56" i="6"/>
  <c r="AO22" i="6" l="1"/>
  <c r="AO14" i="6"/>
  <c r="AO16" i="6"/>
  <c r="AO29" i="6"/>
  <c r="AO28" i="6"/>
  <c r="AO20" i="6"/>
  <c r="AO12" i="6"/>
  <c r="AO30" i="6"/>
  <c r="AO25" i="6"/>
  <c r="AO17" i="6"/>
  <c r="AO27" i="6"/>
  <c r="AO19" i="6"/>
  <c r="AO21" i="6"/>
  <c r="AO11" i="6"/>
  <c r="AO23" i="6"/>
  <c r="AO13" i="6"/>
  <c r="AO26" i="6"/>
  <c r="AO15" i="6"/>
  <c r="AO24" i="6"/>
  <c r="AF31" i="6" l="1"/>
  <c r="AH11" i="6"/>
  <c r="AL11" i="6" s="1"/>
  <c r="AU11" i="6" l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9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10" i="1"/>
  <c r="D11" i="1"/>
  <c r="D12" i="1"/>
  <c r="D13" i="1"/>
  <c r="E13" i="1"/>
  <c r="D9" i="1"/>
  <c r="F451" i="13"/>
  <c r="F450" i="13"/>
  <c r="F449" i="13"/>
  <c r="F448" i="13"/>
  <c r="F447" i="13"/>
  <c r="F446" i="13"/>
  <c r="F445" i="13"/>
  <c r="F444" i="13"/>
  <c r="F443" i="13"/>
  <c r="F442" i="13"/>
  <c r="F441" i="13"/>
  <c r="F440" i="13"/>
  <c r="F439" i="13"/>
  <c r="F438" i="13"/>
  <c r="F437" i="13"/>
  <c r="F436" i="13"/>
  <c r="F435" i="13"/>
  <c r="F434" i="13"/>
  <c r="F433" i="13"/>
  <c r="F432" i="13"/>
  <c r="F431" i="13"/>
  <c r="F430" i="13"/>
  <c r="F429" i="13"/>
  <c r="F428" i="13"/>
  <c r="F427" i="13"/>
  <c r="F426" i="13"/>
  <c r="F425" i="13"/>
  <c r="F424" i="13"/>
  <c r="F423" i="13"/>
  <c r="F422" i="13"/>
  <c r="F421" i="13"/>
  <c r="F420" i="13"/>
  <c r="F419" i="13"/>
  <c r="F418" i="13"/>
  <c r="F417" i="13"/>
  <c r="F416" i="13"/>
  <c r="F415" i="13"/>
  <c r="F414" i="13"/>
  <c r="F413" i="13"/>
  <c r="F412" i="13"/>
  <c r="F411" i="13"/>
  <c r="F410" i="13"/>
  <c r="F409" i="13"/>
  <c r="F408" i="13"/>
  <c r="F407" i="13"/>
  <c r="F406" i="13"/>
  <c r="F405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E12" i="1" s="1"/>
  <c r="F12" i="13"/>
  <c r="F11" i="13"/>
  <c r="F10" i="13"/>
  <c r="F9" i="13"/>
  <c r="F8" i="13"/>
  <c r="F7" i="13"/>
  <c r="F6" i="13"/>
  <c r="F5" i="13"/>
  <c r="F4" i="13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9" i="1"/>
  <c r="E10" i="1" l="1"/>
  <c r="E11" i="1"/>
  <c r="E9" i="1"/>
  <c r="AG31" i="6" l="1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AH30" i="6"/>
  <c r="AL30" i="6" s="1"/>
  <c r="AH29" i="6"/>
  <c r="AL29" i="6" s="1"/>
  <c r="AH28" i="6"/>
  <c r="AL28" i="6" s="1"/>
  <c r="AH27" i="6"/>
  <c r="AL27" i="6" s="1"/>
  <c r="AH26" i="6"/>
  <c r="AL26" i="6" s="1"/>
  <c r="AH25" i="6"/>
  <c r="AL25" i="6" s="1"/>
  <c r="AH24" i="6"/>
  <c r="AL24" i="6" s="1"/>
  <c r="AH23" i="6"/>
  <c r="AL23" i="6" s="1"/>
  <c r="AH22" i="6"/>
  <c r="AL22" i="6" s="1"/>
  <c r="AH21" i="6"/>
  <c r="AL21" i="6" s="1"/>
  <c r="AH20" i="6"/>
  <c r="AL20" i="6" s="1"/>
  <c r="AH19" i="6"/>
  <c r="AL19" i="6" s="1"/>
  <c r="AH18" i="6"/>
  <c r="AL18" i="6" s="1"/>
  <c r="AH17" i="6"/>
  <c r="AL17" i="6" s="1"/>
  <c r="AH16" i="6"/>
  <c r="AL16" i="6" s="1"/>
  <c r="AH15" i="6"/>
  <c r="AL15" i="6" s="1"/>
  <c r="AH14" i="6"/>
  <c r="AL14" i="6" s="1"/>
  <c r="AH13" i="6"/>
  <c r="AL13" i="6" s="1"/>
  <c r="AH12" i="6"/>
  <c r="AL12" i="6" s="1"/>
  <c r="AU14" i="6" l="1"/>
  <c r="AU22" i="6"/>
  <c r="AU30" i="6"/>
  <c r="AU21" i="6"/>
  <c r="AU16" i="6"/>
  <c r="AU24" i="6"/>
  <c r="AU15" i="6"/>
  <c r="AU17" i="6"/>
  <c r="AU25" i="6"/>
  <c r="AU18" i="6"/>
  <c r="AU26" i="6"/>
  <c r="AU29" i="6"/>
  <c r="AU19" i="6"/>
  <c r="AU27" i="6"/>
  <c r="AU13" i="6"/>
  <c r="AU23" i="6"/>
  <c r="AU12" i="6"/>
  <c r="AL31" i="6"/>
  <c r="AM11" i="6" s="1"/>
  <c r="AU20" i="6"/>
  <c r="AU28" i="6"/>
  <c r="AH31" i="6"/>
  <c r="AU31" i="6" l="1"/>
  <c r="AV11" i="6" s="1"/>
  <c r="AM28" i="6"/>
  <c r="AM29" i="6"/>
  <c r="AM23" i="6"/>
  <c r="AM26" i="6"/>
  <c r="AM21" i="6"/>
  <c r="AM13" i="6"/>
  <c r="AM20" i="6"/>
  <c r="AM17" i="6"/>
  <c r="AM15" i="6"/>
  <c r="AM30" i="6"/>
  <c r="AM27" i="6"/>
  <c r="AM18" i="6"/>
  <c r="AM24" i="6"/>
  <c r="AM22" i="6"/>
  <c r="AM12" i="6"/>
  <c r="AM19" i="6"/>
  <c r="AM25" i="6"/>
  <c r="AM16" i="6"/>
  <c r="AM14" i="6"/>
  <c r="AO31" i="6"/>
  <c r="AV23" i="6" l="1"/>
  <c r="AV30" i="6"/>
  <c r="AV27" i="6"/>
  <c r="AV20" i="6"/>
  <c r="AV25" i="6"/>
  <c r="AV17" i="6"/>
  <c r="AV22" i="6"/>
  <c r="AV19" i="6"/>
  <c r="AV18" i="6"/>
  <c r="AV15" i="6"/>
  <c r="AV28" i="6"/>
  <c r="AV12" i="6"/>
  <c r="AV14" i="6"/>
  <c r="AV24" i="6"/>
  <c r="AV29" i="6"/>
  <c r="AV16" i="6"/>
  <c r="AV21" i="6"/>
  <c r="AV26" i="6"/>
  <c r="AV13" i="6"/>
  <c r="AM31" i="6"/>
  <c r="AS31" i="6"/>
  <c r="AQ31" i="6"/>
  <c r="AV31" i="6" l="1"/>
  <c r="AU7" i="16" l="1"/>
  <c r="BE13" i="15"/>
  <c r="AU45" i="16"/>
  <c r="AU5" i="16"/>
  <c r="AU6" i="16"/>
  <c r="BE12" i="15"/>
  <c r="AU43" i="16"/>
  <c r="BE49" i="15"/>
  <c r="AU34" i="16"/>
  <c r="BE40" i="15"/>
  <c r="AU15" i="16"/>
  <c r="BE21" i="15"/>
  <c r="AU12" i="16"/>
  <c r="BE18" i="15"/>
  <c r="AV51" i="15"/>
  <c r="AV11" i="15"/>
  <c r="AU30" i="16"/>
  <c r="BE36" i="15"/>
  <c r="AU27" i="16"/>
  <c r="BE33" i="15"/>
  <c r="AU26" i="16"/>
  <c r="BE32" i="15"/>
  <c r="AU11" i="16"/>
  <c r="BE17" i="15"/>
  <c r="AU23" i="16"/>
  <c r="BE29" i="15"/>
  <c r="AU22" i="16"/>
  <c r="BE28" i="15"/>
  <c r="AU24" i="16"/>
  <c r="BE30" i="15"/>
  <c r="AU44" i="16"/>
  <c r="BE50" i="15"/>
  <c r="AU33" i="16"/>
  <c r="BE39" i="15"/>
  <c r="AU18" i="16"/>
  <c r="BE24" i="15"/>
  <c r="AU8" i="16"/>
  <c r="BE14" i="15"/>
  <c r="AU36" i="16"/>
  <c r="BE42" i="15"/>
  <c r="AU41" i="16"/>
  <c r="BE47" i="15"/>
  <c r="AT45" i="16"/>
  <c r="AT5" i="16"/>
  <c r="AU40" i="16"/>
  <c r="BE46" i="15"/>
  <c r="AU17" i="16"/>
  <c r="BE23" i="15"/>
  <c r="AU37" i="16"/>
  <c r="BE43" i="15"/>
  <c r="AU9" i="16"/>
  <c r="BE15" i="15"/>
  <c r="AU29" i="16"/>
  <c r="BE35" i="15"/>
  <c r="AU20" i="16"/>
  <c r="BE26" i="15"/>
  <c r="AN51" i="15"/>
  <c r="AN11" i="15"/>
  <c r="AU13" i="16"/>
  <c r="BE19" i="15"/>
  <c r="AU42" i="16"/>
  <c r="BE48" i="15"/>
  <c r="AU25" i="16"/>
  <c r="BE31" i="15"/>
  <c r="AU21" i="16"/>
  <c r="BE27" i="15"/>
  <c r="AM51" i="15"/>
  <c r="AU10" i="16"/>
  <c r="BE16" i="15"/>
  <c r="AU14" i="16"/>
  <c r="BE20" i="15"/>
  <c r="AU32" i="16"/>
  <c r="BE38" i="15"/>
  <c r="AU39" i="16"/>
  <c r="BE45" i="15"/>
  <c r="AU38" i="16"/>
  <c r="BE44" i="15"/>
  <c r="AU16" i="16"/>
  <c r="BE22" i="15"/>
  <c r="AU31" i="16"/>
  <c r="BE37" i="15"/>
  <c r="AU28" i="16"/>
  <c r="BE34" i="15"/>
  <c r="AU19" i="16"/>
  <c r="BE25" i="15"/>
  <c r="AU35" i="16"/>
  <c r="BD51" i="15"/>
  <c r="BE41" i="15"/>
  <c r="AV34" i="15"/>
  <c r="AV36" i="15"/>
  <c r="AV20" i="15"/>
  <c r="AV18" i="15"/>
  <c r="AV46" i="15"/>
  <c r="AV39" i="15"/>
  <c r="AV29" i="15"/>
  <c r="AV27" i="15"/>
  <c r="AV12" i="15"/>
  <c r="AV24" i="15"/>
  <c r="AV19" i="15"/>
  <c r="AV23" i="15"/>
  <c r="AV15" i="15"/>
  <c r="AV50" i="15"/>
  <c r="AV21" i="15"/>
  <c r="AV38" i="15"/>
  <c r="AV49" i="15"/>
  <c r="AV47" i="15"/>
  <c r="AV41" i="15"/>
  <c r="AV16" i="15"/>
  <c r="AV48" i="15"/>
  <c r="AV14" i="15"/>
  <c r="AV26" i="15"/>
  <c r="AV42" i="15"/>
  <c r="AV33" i="15"/>
  <c r="AV45" i="15"/>
  <c r="AV25" i="15"/>
  <c r="AV17" i="15"/>
  <c r="AV30" i="15"/>
  <c r="AV40" i="15"/>
  <c r="AV28" i="15"/>
  <c r="AV22" i="15"/>
  <c r="AV37" i="15"/>
  <c r="AV31" i="15"/>
  <c r="AV43" i="15"/>
  <c r="AV32" i="15"/>
  <c r="AV35" i="15"/>
  <c r="AV13" i="15"/>
  <c r="AU51" i="15"/>
  <c r="AV44" i="15"/>
  <c r="AM11" i="15"/>
  <c r="AU11" i="15"/>
  <c r="BD11" i="15"/>
  <c r="BE11" i="15"/>
  <c r="BE5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CLBR. M Carcelen</author>
  </authors>
  <commentList>
    <comment ref="G8" authorId="0" shapeId="0" xr:uid="{5FD0D22B-F59E-4776-A569-F9982C403632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SI O NO</t>
        </r>
      </text>
    </comment>
    <comment ref="J8" authorId="0" shapeId="0" xr:uid="{2D26C0B1-3026-43E8-844A-C3F0B94EED5C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DEFINITO O PRESUNTIVO</t>
        </r>
      </text>
    </comment>
    <comment ref="M8" authorId="0" shapeId="0" xr:uid="{9A8FF295-3840-4756-9B85-CB546E9E9A7A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SI/NO</t>
        </r>
      </text>
    </comment>
    <comment ref="N8" authorId="0" shapeId="0" xr:uid="{E47A476D-12D7-4DD1-9A19-FE886DEDC89A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1. ATENCION INTERNA
2. ATENCIÓN PARTICULAR
3. MSP O IESS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CLBR. M Carcelen</author>
  </authors>
  <commentList>
    <comment ref="E20" authorId="0" shapeId="0" xr:uid="{DB4FFCF8-E063-4EF9-9E7C-F9B2AFBFA631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22" authorId="0" shapeId="0" xr:uid="{2540492A-9EB4-4C1A-A26E-C62FF1D4705A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26" authorId="0" shapeId="0" xr:uid="{3D9AA428-BFE6-4F49-85ED-859BE0DB2E26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30" authorId="0" shapeId="0" xr:uid="{EA738AA6-9FCB-41B7-865C-CDC40B07DE67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33" authorId="0" shapeId="0" xr:uid="{B651DE9B-27D7-4176-AABE-D977087D8394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65" authorId="0" shapeId="0" xr:uid="{3C814651-8471-4225-ADA4-5D2E79F70EB2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67" authorId="0" shapeId="0" xr:uid="{D83A3C9C-E852-4277-9120-8B0351E3DF79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71" authorId="0" shapeId="0" xr:uid="{2266C154-F3FF-4C73-B8CD-CD11ACB0EA35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75" authorId="0" shapeId="0" xr:uid="{C3D9C8C1-9698-471E-9BA9-981AC819AB81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78" authorId="0" shapeId="0" xr:uid="{377AFCE1-DDE6-4BA5-BFA3-00740E06EF67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110" authorId="0" shapeId="0" xr:uid="{3E8FBA7C-9E19-48BA-905A-E910A380D1E1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112" authorId="0" shapeId="0" xr:uid="{58C276AC-E198-4218-86D6-77C1FAAF7D6B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116" authorId="0" shapeId="0" xr:uid="{DEF9A643-202E-428D-85F6-D259AF68AD45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120" authorId="0" shapeId="0" xr:uid="{15814ED8-7D68-499F-A5B9-B8514AA62F5B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123" authorId="0" shapeId="0" xr:uid="{E96B8255-57EC-4443-BB0C-2D6F0AE47EA3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155" authorId="0" shapeId="0" xr:uid="{4CDFD992-8846-4584-9E83-91C5089DECAA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157" authorId="0" shapeId="0" xr:uid="{888AFFC1-98AB-4E40-BE67-BBE68EF61FE9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161" authorId="0" shapeId="0" xr:uid="{AA2C85B3-F0C0-4AA9-8DF3-592C964FF03A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165" authorId="0" shapeId="0" xr:uid="{AC1F642F-82B0-4A0F-B6B1-C0BADDEA3480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168" authorId="0" shapeId="0" xr:uid="{CBCA339D-5403-47C8-939D-ED3A1FBFD2B2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200" authorId="0" shapeId="0" xr:uid="{14B1A960-CE22-42B7-A524-96EAE923FE20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202" authorId="0" shapeId="0" xr:uid="{47DECBAA-D524-4C08-993A-808BACCADAAE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206" authorId="0" shapeId="0" xr:uid="{E6F544CA-A983-458E-BD53-47DFD0BA5A67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210" authorId="0" shapeId="0" xr:uid="{A626BC1C-473D-42FE-85F5-54BD61E62410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213" authorId="0" shapeId="0" xr:uid="{C48A2895-CD62-4F7E-A0EE-8A794D97811A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245" authorId="0" shapeId="0" xr:uid="{01E34827-A3C2-4906-91E8-DC7DF03FC89B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247" authorId="0" shapeId="0" xr:uid="{B0F43435-D37A-4D15-B527-DC6F26320946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251" authorId="0" shapeId="0" xr:uid="{1AFA1185-D18F-46F0-9B14-AECAE27C8042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255" authorId="0" shapeId="0" xr:uid="{950F3AF0-3292-4C90-BE06-36351797D083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258" authorId="0" shapeId="0" xr:uid="{793C1E88-5C1A-4414-8018-7A1F60953E90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290" authorId="0" shapeId="0" xr:uid="{B20454B8-BB58-45D6-8FEC-3A2331A3EBFB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292" authorId="0" shapeId="0" xr:uid="{2257AAA1-8902-4348-9CF4-3C8EDBCCD4EE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296" authorId="0" shapeId="0" xr:uid="{89E2EE71-9097-45D1-A632-C46326A7D10B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300" authorId="0" shapeId="0" xr:uid="{89CD8C21-F8A7-431F-9DA5-26348F96BC54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303" authorId="0" shapeId="0" xr:uid="{8F287D2F-4D24-4450-8286-2045A3D455C1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335" authorId="0" shapeId="0" xr:uid="{3568A42B-E092-4E4F-8829-9F4F04C686F4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337" authorId="0" shapeId="0" xr:uid="{A648D45D-F6EF-4349-824B-D83DA06813E3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341" authorId="0" shapeId="0" xr:uid="{3A6EE9FC-05CB-4794-99D1-9E9BD1F6B4CF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345" authorId="0" shapeId="0" xr:uid="{5F7B5040-A67C-46B2-B1D6-D5682AAB10F9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348" authorId="0" shapeId="0" xr:uid="{820F395D-0A6E-4F59-9A13-DCC5B9EF84E9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380" authorId="0" shapeId="0" xr:uid="{D1552466-BB33-426B-9795-4049227EEF68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382" authorId="0" shapeId="0" xr:uid="{7D5D6853-3BF0-4E58-9FBE-B8A964EB3F3F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386" authorId="0" shapeId="0" xr:uid="{9BB88E34-6611-4626-8817-6AA06ECB2675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390" authorId="0" shapeId="0" xr:uid="{0AD5AE61-B528-484C-8D1A-DF7AAD62FD61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393" authorId="0" shapeId="0" xr:uid="{C4D34D21-94DF-4BAE-88FA-C9CD74EFE8FB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425" authorId="0" shapeId="0" xr:uid="{D8DC4D49-0E56-42B7-BFB0-415537BE58A3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427" authorId="0" shapeId="0" xr:uid="{77E81844-5E35-4CA3-8895-4563321A4848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431" authorId="0" shapeId="0" xr:uid="{9A66454F-90CD-4C32-B6CC-A1E22A5FDE96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435" authorId="0" shapeId="0" xr:uid="{A3B7A836-9A32-4D23-9BA0-CD56204F74E0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438" authorId="0" shapeId="0" xr:uid="{92B89041-EA62-4721-92FB-24C2CB197AEC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470" authorId="0" shapeId="0" xr:uid="{942ABC71-C29E-436D-ADDE-6CFA0F4DAED4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472" authorId="0" shapeId="0" xr:uid="{3BB971A0-7F51-4799-82A6-328A98D9A508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476" authorId="0" shapeId="0" xr:uid="{B37E3C45-84DD-4347-B243-AEAA8FD03F56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480" authorId="0" shapeId="0" xr:uid="{C8A66110-B02B-4F06-9A1F-323154D1DE43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483" authorId="0" shapeId="0" xr:uid="{2AE88618-506F-4994-B8B5-2F00B75A6F86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  <comment ref="E515" authorId="0" shapeId="0" xr:uid="{DF785F8D-EFAD-4DC9-99FE-BCB6C18D3929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SOBRE 2 ML</t>
        </r>
      </text>
    </comment>
    <comment ref="E517" authorId="0" shapeId="0" xr:uid="{3D2B2528-8ADF-4751-9A02-19F42EF9C2A3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MG</t>
        </r>
      </text>
    </comment>
    <comment ref="E521" authorId="0" shapeId="0" xr:uid="{ABF1B827-C58C-482D-AC79-FF9D1C055CFA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2 ML</t>
        </r>
      </text>
    </comment>
    <comment ref="C525" authorId="0" shapeId="0" xr:uid="{7C9DE4B1-B3CC-42BC-A45F-C7C543A8B2F5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Antimicrobianos y Antifúngicos</t>
        </r>
      </text>
    </comment>
    <comment ref="C528" authorId="0" shapeId="0" xr:uid="{B9406298-BBB9-4A1A-8B11-7A56C4A8EE4D}">
      <text>
        <r>
          <rPr>
            <b/>
            <sz val="9"/>
            <color indexed="81"/>
            <rFont val="Tahoma"/>
            <family val="2"/>
          </rPr>
          <t>CLBR. M Carcelen:</t>
        </r>
        <r>
          <rPr>
            <sz val="9"/>
            <color indexed="81"/>
            <rFont val="Tahoma"/>
            <family val="2"/>
          </rPr>
          <t xml:space="preserve">
CARDIOVASCULARES Y DIURÉTICOS</t>
        </r>
      </text>
    </comment>
  </commentList>
</comments>
</file>

<file path=xl/sharedStrings.xml><?xml version="1.0" encoding="utf-8"?>
<sst xmlns="http://schemas.openxmlformats.org/spreadsheetml/2006/main" count="4817" uniqueCount="1012">
  <si>
    <t>MES</t>
  </si>
  <si>
    <t>APELLIDOS Y NOMBRES</t>
  </si>
  <si>
    <t xml:space="preserve">SEXO </t>
  </si>
  <si>
    <t>EDAD</t>
  </si>
  <si>
    <t>TIPO DE MORBILIDAD</t>
  </si>
  <si>
    <t>DIAGNOSTICO (DX) O SINDROME</t>
  </si>
  <si>
    <t>CATEGORIA DEL DX</t>
  </si>
  <si>
    <t>CLASE DE DX</t>
  </si>
  <si>
    <t>CARGO</t>
  </si>
  <si>
    <t>PROYECTO</t>
  </si>
  <si>
    <t>INTERCONSULTA</t>
  </si>
  <si>
    <t>PORRAS CORDOVA JEFFERSON VINICIO</t>
  </si>
  <si>
    <t>H</t>
  </si>
  <si>
    <t>-</t>
  </si>
  <si>
    <t>RESPIRATORIAS / ORL</t>
  </si>
  <si>
    <t>TIERRAS COLORADAS</t>
  </si>
  <si>
    <t>JIMENEZ CARRION CARLOS VICENTE</t>
  </si>
  <si>
    <t>TORRES CARRION JOSE VICENTE</t>
  </si>
  <si>
    <t>PARDO ABAD ANGEL JOSE</t>
  </si>
  <si>
    <t>TORRES PARDO PATRICIO MARCELO</t>
  </si>
  <si>
    <t>ABAD SUAREZ JIMMY ARMANDO</t>
  </si>
  <si>
    <t>MUSCULOESQUELETICAS</t>
  </si>
  <si>
    <t>GUAMBIANGO YAPO KLEVER FERNANDO</t>
  </si>
  <si>
    <t>NEUROLOGICAS</t>
  </si>
  <si>
    <t>M</t>
  </si>
  <si>
    <t>PONCE CUASAPUD WILLIAM ANDRES</t>
  </si>
  <si>
    <t>SALVADOR ESPIN MARIA CRISTINA</t>
  </si>
  <si>
    <t xml:space="preserve">CAUJA PILATAXI KARINA MARIVEL </t>
  </si>
  <si>
    <t>ABAD SUAREZ MIGUEL ANGEL</t>
  </si>
  <si>
    <t>WARINTZA</t>
  </si>
  <si>
    <t>SIERRA OSORIO DIEGO FERNANDO</t>
  </si>
  <si>
    <t>OTRAS</t>
  </si>
  <si>
    <t>SEDE CENTRAL</t>
  </si>
  <si>
    <t xml:space="preserve">JIMENEZ RODRIGUEZ DARWIN VICENTE </t>
  </si>
  <si>
    <t xml:space="preserve">OLMEDO SOTO PEDRO ALEJANDRO </t>
  </si>
  <si>
    <t>SALTOS CARRASCO CHRISTIAN MARCELO</t>
  </si>
  <si>
    <t>GENITOURINARIAS</t>
  </si>
  <si>
    <t>ORDOÑEZ ORDOÑEZ KEVIN WALTER</t>
  </si>
  <si>
    <t xml:space="preserve">BRICEÑO PARDO EDWIN EDISON </t>
  </si>
  <si>
    <t>VERDEZOTO BARREZUETA KHATERINE LIZETH</t>
  </si>
  <si>
    <t>BERRU GUALAN WILLIAM STALIN</t>
  </si>
  <si>
    <t>PIEDRA PIEDRA JAYRO BLADIMIR</t>
  </si>
  <si>
    <t>VACA ORTIZ CARLOS EDUARDO</t>
  </si>
  <si>
    <t>JIMENEZ JIMENEZ MILTON YOVANNY</t>
  </si>
  <si>
    <t>DELGADO DIAZ ALEXANDRA ELIZABETH</t>
  </si>
  <si>
    <t>CORDERO CASTILLO WILSON PEDRO</t>
  </si>
  <si>
    <t>GASTROINTESTINALES</t>
  </si>
  <si>
    <t>JIMENEZ CASTILLO JORGE LUIS</t>
  </si>
  <si>
    <t>LOPEZ  CALVOPIÑA KIMBERLIN DEANNA</t>
  </si>
  <si>
    <t>AWAK CHUINDA BYRON PATRICIO</t>
  </si>
  <si>
    <t>DERMATOLOGICAS</t>
  </si>
  <si>
    <t>CALVOPIÑA ACOSTA KAREN ARACELY</t>
  </si>
  <si>
    <t>ABAD OLMEDO DIONICIO EFRAIN</t>
  </si>
  <si>
    <t>RODRIGUEZ TORRES JUAN FRANCISCO</t>
  </si>
  <si>
    <t>TORRES PACHECO JOSE ANTONIO</t>
  </si>
  <si>
    <t>SAGBAY AGUIRRE JHEISON ROLANDO</t>
  </si>
  <si>
    <t>CORREA JIMENEZ JOSE DEMECIO</t>
  </si>
  <si>
    <t>ODONTOLOGICAS</t>
  </si>
  <si>
    <t>JATIVA CAVIEDES KARINA LIZETH</t>
  </si>
  <si>
    <t>SOLORZANO PUENTES NEFFER</t>
  </si>
  <si>
    <t>AYALA TORRES HECTOR MAURICIO</t>
  </si>
  <si>
    <t>SILVA CHACHA EDISON PATRICIO</t>
  </si>
  <si>
    <t>BRAVO SALDARRIAGA ERICK LEONARDO</t>
  </si>
  <si>
    <t>CONFORME PACHECO KATTY MARBEL</t>
  </si>
  <si>
    <t>PALLO TATES MAURICIO RICARDO</t>
  </si>
  <si>
    <t>QUIROZ GÓMEZ KEVIN JOEL</t>
  </si>
  <si>
    <t>OFTALMOLOGICAS</t>
  </si>
  <si>
    <t xml:space="preserve">GANCHOZO MUÑOZ RAFAEL ANTONIO </t>
  </si>
  <si>
    <t>MORENO AMORES SOFIA ALEJANDRA</t>
  </si>
  <si>
    <t>CARCELEN MENDEZ MARIA JOSE</t>
  </si>
  <si>
    <t>AGUILAR SALINAS JOSE MIGUEL</t>
  </si>
  <si>
    <t xml:space="preserve">CHIMBO PIÑA EDWIN JAVIER </t>
  </si>
  <si>
    <t>TRAUMATISMOS</t>
  </si>
  <si>
    <t>CUYO VEGA DARWIN EFRAIN</t>
  </si>
  <si>
    <t>RODRIGUEZ TORRES MAURICIO FERMIN</t>
  </si>
  <si>
    <t>OVIEDO MONCADA JOSE JAYRO</t>
  </si>
  <si>
    <t>HERRERA ESPINOZA JORGE VINICIO</t>
  </si>
  <si>
    <t>JIMENEZ GAONA JOSE CELESTINO</t>
  </si>
  <si>
    <t>CARRION CUEVA CARLOS FRANCISCO</t>
  </si>
  <si>
    <t>JIMENEZ JIMENEZ JOSE ANDRES</t>
  </si>
  <si>
    <t>CONDE QUEZADA CRISTIAN ALBERTO</t>
  </si>
  <si>
    <t>PINTADO VIVANCO JONATHAN CRISTOBAL</t>
  </si>
  <si>
    <t>PEÑAFIEL MAFLA WILSON JOSELO</t>
  </si>
  <si>
    <t>CARRIÓN PARDO MARCELO MINOS</t>
  </si>
  <si>
    <t>ROMERO SOTO HERMAN GONZALO</t>
  </si>
  <si>
    <t>SEDE MACAS</t>
  </si>
  <si>
    <t>GAMBOA BAUTISTA JUAN CARLOS</t>
  </si>
  <si>
    <t>ALVARADO BORJA JOSE MARCELO</t>
  </si>
  <si>
    <t>CASTILLO MORALES JUAN CARLOS</t>
  </si>
  <si>
    <t>BARRAGAN VASCONEZ CRISTIAN OMAR</t>
  </si>
  <si>
    <t>GUEVARA HARO FREDDY OSWALDO</t>
  </si>
  <si>
    <t>PRIMER AUXILIO</t>
  </si>
  <si>
    <t>HERIDAS / SUTURAS</t>
  </si>
  <si>
    <t>PUWAINCHIR TSAHIMP YANTSA WALTER</t>
  </si>
  <si>
    <t>CURACIONES</t>
  </si>
  <si>
    <t>GIRALDO MORENO JAIME ANDRES</t>
  </si>
  <si>
    <t>SUIN QUILAMBAQUI HOLGER JUVENTINO</t>
  </si>
  <si>
    <t>MORDEDURAS / PICADURAS</t>
  </si>
  <si>
    <t>ANDRADE GARZON PETER THOMAS</t>
  </si>
  <si>
    <t>MEDINA GUAROCHICO ANGEL LISANDRO</t>
  </si>
  <si>
    <t>CAYO DRUET SANTIAGO JAVIER</t>
  </si>
  <si>
    <t>UNKUCH NANTIPIA WELINGTON FREDY</t>
  </si>
  <si>
    <t>PONCE ROSERO HENRY GERMAN</t>
  </si>
  <si>
    <t>ANDRADE PEÑAFIEL JEFFERSON JESUS</t>
  </si>
  <si>
    <t>PELAEZ JATIVA JORDAN ALEXANDER</t>
  </si>
  <si>
    <t>AREVALO ALBARADO VALENTIN AVILENE</t>
  </si>
  <si>
    <t>ROSERO HERRERA JAIRO VINICIO</t>
  </si>
  <si>
    <t>PONCE TAYO ROBINSON PAUL</t>
  </si>
  <si>
    <t>GUZMAN LOPEZ JOHANNA NATHALIA</t>
  </si>
  <si>
    <t>AYALA ALMEIDA CRISTIAN BENITO</t>
  </si>
  <si>
    <t>BAJAÑA CEVALLOS JONATHAN SAUL</t>
  </si>
  <si>
    <t>SALAZAR GUAGALANGO DANIEL ELICEO</t>
  </si>
  <si>
    <t>ROJAS GONZA JOSE EFRAIN</t>
  </si>
  <si>
    <t xml:space="preserve">AYALA ALMEIDA KLEIMER LINDEMAN </t>
  </si>
  <si>
    <t>ANDRADE PEÑAFIEL JONATHAN GABRIEL</t>
  </si>
  <si>
    <t>SAAVEDRA PARRA ROBERTH MAURICIO</t>
  </si>
  <si>
    <t>QUILCA TIPANLUIZA WELINTONG JAVIER</t>
  </si>
  <si>
    <t>ROSARIO BRAVO JULIO JOSÉ</t>
  </si>
  <si>
    <t>TROPICALES</t>
  </si>
  <si>
    <t>LITA CACUANGO LUIS ALEXANDER</t>
  </si>
  <si>
    <t>RODRIGUEZ TORRES JACINTO FERNANDO</t>
  </si>
  <si>
    <t>DIAZ JIMENEZ ALEJANDRA ELIZABETH</t>
  </si>
  <si>
    <t>NOVOA CASTRO FREDDY ALEJANDRO</t>
  </si>
  <si>
    <t>ZHUNIO LOJA ELVIS ADRIAN</t>
  </si>
  <si>
    <t>CUNZA NAULA JULIO CESAR</t>
  </si>
  <si>
    <t xml:space="preserve">CARRION AGILA ELVIS JORDY </t>
  </si>
  <si>
    <t>ANDRADE GARZON MARVIN HUMBERTO</t>
  </si>
  <si>
    <t>CEREZO BONILLA YASMANI EFRAIN</t>
  </si>
  <si>
    <t>RODRIGUEZ MEDIAVILA HECTOR STALIN</t>
  </si>
  <si>
    <t>CORREA ESPINOZA OSCAR ANTONIO</t>
  </si>
  <si>
    <t>BALCAZAR TORRES JUAN ANTONIO</t>
  </si>
  <si>
    <t>ALULEMA TOAPANTA JUAN CARLOS</t>
  </si>
  <si>
    <t>AYALA YEPEZ EDGAR PATRICIO</t>
  </si>
  <si>
    <t>RAMOS CAMPOVERDE ORLANDO VINICIO</t>
  </si>
  <si>
    <t>OLMEDO SOTO EDISON PATRICIO</t>
  </si>
  <si>
    <t>CIFUENTES JIMENEZ FERNANDO</t>
  </si>
  <si>
    <t>BENAVIDES GARZON WILDER ALFREDO</t>
  </si>
  <si>
    <t>NIETO QUEZADA JUAN CARLOS</t>
  </si>
  <si>
    <t xml:space="preserve">GAONA MERINO ROMEL FRANCISCO </t>
  </si>
  <si>
    <t>HARO TORRES JENRI JAVIER</t>
  </si>
  <si>
    <t>TANDAZO CASTILLO GUSTAVO XAVIER</t>
  </si>
  <si>
    <t>SUASNAVAS CERVANTES MARIO ALEJANDRO</t>
  </si>
  <si>
    <t>GAONA CARRION BYRON EDISON</t>
  </si>
  <si>
    <t>PIEDRA PIEDRA JHONNY BENITO</t>
  </si>
  <si>
    <t>MINGA ABRIGO WALTER GEOVANNY</t>
  </si>
  <si>
    <t>ALULIMA MOROCHO JHON CARLOS</t>
  </si>
  <si>
    <t>SANMARTIN TEJEDOR WILLIAM OSWALDO</t>
  </si>
  <si>
    <t>DELGADO COSTA  JEFFERSON GERMAN</t>
  </si>
  <si>
    <t>SANCHEZ BRITO CRISTIAN ADRIAN</t>
  </si>
  <si>
    <t>PASTUÑA SANCHEZ LENIN ANDRES</t>
  </si>
  <si>
    <t>CHICAIZA AGUILAR JEFFERSON SANTIAGO</t>
  </si>
  <si>
    <t>RIVERA OCHOA BYRON JAVIER</t>
  </si>
  <si>
    <t>ALMEIDA ENRIQUEZ BRIAN DUMANY</t>
  </si>
  <si>
    <t>TENEZACA GUARTAMBER JOHN SEBASTIAN</t>
  </si>
  <si>
    <t>RAMON ERRAEZ UBALDO LAUTARO</t>
  </si>
  <si>
    <t xml:space="preserve">GUAROCHICO URIBE LUIS RICARDO </t>
  </si>
  <si>
    <t>GAONA SIMBAÑA CARLOS ESTEBAN</t>
  </si>
  <si>
    <t xml:space="preserve">LOOR VALLE JOSE IGNACIO </t>
  </si>
  <si>
    <t>PACHACAMA PACHACAMA ERICK DAVID</t>
  </si>
  <si>
    <t>NOGALES AGUILAR GUIDO PATRICIO</t>
  </si>
  <si>
    <t>BRICEÑO PARDO HECTOR RENE</t>
  </si>
  <si>
    <t>LOZANO DUCHITANGA MONICA JASMINA</t>
  </si>
  <si>
    <t>REFERENCIAS</t>
  </si>
  <si>
    <t>Interconsulta:</t>
  </si>
  <si>
    <t xml:space="preserve">1. Atención interna </t>
  </si>
  <si>
    <t>2. Particular (por ejemplo seguro privado, otros establ.)</t>
  </si>
  <si>
    <t>3. Público (por ejemplo IESS, MSP)</t>
  </si>
  <si>
    <t>Tipo de morbilidad y/o ausentimo por:</t>
  </si>
  <si>
    <t>EC: Enfermedad común</t>
  </si>
  <si>
    <t>EO: Enfermedad ocupacional</t>
  </si>
  <si>
    <t>PA: Primer Auxilio</t>
  </si>
  <si>
    <t>IT: Incidente de trabajo</t>
  </si>
  <si>
    <t>JIMENEZ CASTILLO JIMMY SALVADOR</t>
  </si>
  <si>
    <t>RODRIGUEZ RUIZ DENIS PAUL</t>
  </si>
  <si>
    <t>MES:</t>
  </si>
  <si>
    <t>COD.</t>
  </si>
  <si>
    <t>PATOLOGIAS</t>
  </si>
  <si>
    <t>31</t>
  </si>
  <si>
    <t>TOTAL</t>
  </si>
  <si>
    <t>L</t>
  </si>
  <si>
    <t>J</t>
  </si>
  <si>
    <t>V</t>
  </si>
  <si>
    <t>S</t>
  </si>
  <si>
    <t>D</t>
  </si>
  <si>
    <t>T</t>
  </si>
  <si>
    <t>CARDIOVASCULARES</t>
  </si>
  <si>
    <t>CONTROL / PROFILAXIS</t>
  </si>
  <si>
    <t>ETS</t>
  </si>
  <si>
    <t>INTOXICACIONES / ENVENENAMIENTOS</t>
  </si>
  <si>
    <t>QUEMADURAS</t>
  </si>
  <si>
    <t>SANO</t>
  </si>
  <si>
    <t>REVISION POR:</t>
  </si>
  <si>
    <t>SALDO ANTERIOR</t>
  </si>
  <si>
    <t>INGRESO</t>
  </si>
  <si>
    <t>AMOXICILINA</t>
  </si>
  <si>
    <t>500 MG</t>
  </si>
  <si>
    <t>ANAUTIN</t>
  </si>
  <si>
    <t>50 MG</t>
  </si>
  <si>
    <t>CAPSULA</t>
  </si>
  <si>
    <t>275 MG</t>
  </si>
  <si>
    <t>BACTRIM FORTE</t>
  </si>
  <si>
    <t>AMPOLLA</t>
  </si>
  <si>
    <t>BUPREX MIGRA</t>
  </si>
  <si>
    <t>10 MG</t>
  </si>
  <si>
    <t>DIGESTOTAL FORTE</t>
  </si>
  <si>
    <t>ENTEROGERMINA</t>
  </si>
  <si>
    <t>200 MG</t>
  </si>
  <si>
    <t>FUROSEMIDA</t>
  </si>
  <si>
    <t>20 MG</t>
  </si>
  <si>
    <t>FLORATIL</t>
  </si>
  <si>
    <t>SOBRE</t>
  </si>
  <si>
    <t>IBUPROFENO</t>
  </si>
  <si>
    <t>LORATADINA</t>
  </si>
  <si>
    <t>TABLETA</t>
  </si>
  <si>
    <t>MIGRADORIXINA</t>
  </si>
  <si>
    <t>MOLAREX</t>
  </si>
  <si>
    <t>NASTIZOL</t>
  </si>
  <si>
    <t>NEOGRIPAL</t>
  </si>
  <si>
    <t>OMEPRAZOL</t>
  </si>
  <si>
    <t>GOTERO</t>
  </si>
  <si>
    <t>PARACETAMOL</t>
  </si>
  <si>
    <t>SERTAL COMPUESTO</t>
  </si>
  <si>
    <t>TENSIFLEX</t>
  </si>
  <si>
    <t xml:space="preserve">TRIDERM </t>
  </si>
  <si>
    <t>TUBO</t>
  </si>
  <si>
    <t>TRIOVAL</t>
  </si>
  <si>
    <t>TOPI BUCAL</t>
  </si>
  <si>
    <t>10 ML</t>
  </si>
  <si>
    <t>KETOROLACO</t>
  </si>
  <si>
    <t>30 MG</t>
  </si>
  <si>
    <t>FRASCO</t>
  </si>
  <si>
    <t>ENFERMEDAD OCUPACIONAL</t>
  </si>
  <si>
    <t>INCIDENTE DE TRABAJO</t>
  </si>
  <si>
    <t>INTOXICACIONES / ENVENENAMIENTO</t>
  </si>
  <si>
    <t>Suma de MES</t>
  </si>
  <si>
    <t>Etiquetas de fila</t>
  </si>
  <si>
    <t>Cuenta de TIPO DE MORBILIDAD</t>
  </si>
  <si>
    <t>Cuenta de CATEGORIA DEL DX</t>
  </si>
  <si>
    <t>Cuenta de PROYECTO</t>
  </si>
  <si>
    <t>PICHINCHA</t>
  </si>
  <si>
    <t xml:space="preserve">Cuenta de SEXO </t>
  </si>
  <si>
    <t>CANGREJOS</t>
  </si>
  <si>
    <t>EL ORO</t>
  </si>
  <si>
    <t>Total general</t>
  </si>
  <si>
    <t>INCIDENTE</t>
  </si>
  <si>
    <t>LOJA</t>
  </si>
  <si>
    <t>TITAN</t>
  </si>
  <si>
    <t>MORONA SANTIAGO</t>
  </si>
  <si>
    <t>EL PALMAR</t>
  </si>
  <si>
    <t>IMBABURA</t>
  </si>
  <si>
    <t>BRAMADEROS</t>
  </si>
  <si>
    <t>PEGASUS</t>
  </si>
  <si>
    <t>EL GUAYABO</t>
  </si>
  <si>
    <t>OTROS</t>
  </si>
  <si>
    <t>PRIMER AUX</t>
  </si>
  <si>
    <t>ENF COMUN</t>
  </si>
  <si>
    <t>MORB POR CENTRO DE TRABAJO</t>
  </si>
  <si>
    <t>ATENCIONES POR CATEGORIA</t>
  </si>
  <si>
    <t xml:space="preserve">AUSENTISMO </t>
  </si>
  <si>
    <t>FECHA DE NACIMIENTO</t>
  </si>
  <si>
    <t>AYUDANTE DE PERFORACION</t>
  </si>
  <si>
    <t>1102037502</t>
  </si>
  <si>
    <t>OBRERO DE CAMPO</t>
  </si>
  <si>
    <t>1105809378</t>
  </si>
  <si>
    <t>ABAD PRADO CRISTIAN OMAR</t>
  </si>
  <si>
    <t>1150441408</t>
  </si>
  <si>
    <t>ABAD SUAREZ DOUGLAS MICHAEL</t>
  </si>
  <si>
    <t>0922979190</t>
  </si>
  <si>
    <t>SUPERVISOR DE PROYECTO</t>
  </si>
  <si>
    <t>0912167301</t>
  </si>
  <si>
    <t>0923633325</t>
  </si>
  <si>
    <t>PERFORISTA</t>
  </si>
  <si>
    <t>AYUDANTE DE SERVICIOS GENERALES</t>
  </si>
  <si>
    <t>ACEVEDO ROSARIO JEAN CARLO</t>
  </si>
  <si>
    <t>ASISTENTE DE LOGISTICA</t>
  </si>
  <si>
    <t>0705233724</t>
  </si>
  <si>
    <t>LOGISTICO DE PROYECTO</t>
  </si>
  <si>
    <t>CONDUCTOR LOGISTICO</t>
  </si>
  <si>
    <t>ASISTENTE HSE</t>
  </si>
  <si>
    <t>MECANICO DE PROYECTO</t>
  </si>
  <si>
    <t>ALMENDARIZ MAZA MARIA ESTHER</t>
  </si>
  <si>
    <t>0604934786</t>
  </si>
  <si>
    <t>MEDICO DE CAMPO</t>
  </si>
  <si>
    <t>ALVARADO ROBLES LUIS CLAUDIO</t>
  </si>
  <si>
    <t>ALVAREZ LOPEZ KEVIN RICARDO</t>
  </si>
  <si>
    <t>1726476169</t>
  </si>
  <si>
    <t xml:space="preserve">ANANGONO DELGADO ROMEL ESTUARDO </t>
  </si>
  <si>
    <t>1723280861</t>
  </si>
  <si>
    <t xml:space="preserve">ASISTENTE DE BODEGA </t>
  </si>
  <si>
    <t>ANDRADE GARZON DIEGO RICARDO</t>
  </si>
  <si>
    <t>BOMBERO</t>
  </si>
  <si>
    <t>ANDY GREFA JESUS MARCELO</t>
  </si>
  <si>
    <t>OPERADOR IH</t>
  </si>
  <si>
    <t>AREVALO CELI ESTEBAN ANDRES</t>
  </si>
  <si>
    <t xml:space="preserve">COORDINADOR DE MANTENIMIENTO </t>
  </si>
  <si>
    <t>AREVALO PALACIOS NELSON VALENTIN</t>
  </si>
  <si>
    <t>ARMIJOS JUMBO EDDY ISRAEL</t>
  </si>
  <si>
    <t>1105434177</t>
  </si>
  <si>
    <t>ARPI MARCA RENE OLMEDO</t>
  </si>
  <si>
    <t>0105815856</t>
  </si>
  <si>
    <t>ASISTENTE CONTABLE</t>
  </si>
  <si>
    <t>ARTEAGA ARGUELLO MAURICIO RAFAEL</t>
  </si>
  <si>
    <t>CONDUCTOR MINI RETRO EXCAVADORA</t>
  </si>
  <si>
    <t>ASISTENTE DE MANTENIMIENTO</t>
  </si>
  <si>
    <t>AVILA JIMENEZ VICTOR STALIN</t>
  </si>
  <si>
    <t>1150780235</t>
  </si>
  <si>
    <t>AYALA PAREDES KLEVER ARMANDO</t>
  </si>
  <si>
    <t>0504009663</t>
  </si>
  <si>
    <t>0503605701</t>
  </si>
  <si>
    <t>BALCAZAR GRANDA DARLINTON JOEL</t>
  </si>
  <si>
    <t>1150564951</t>
  </si>
  <si>
    <t xml:space="preserve"> 1105064255</t>
  </si>
  <si>
    <t>BALSECA PORRAS BYRON RODRIGO</t>
  </si>
  <si>
    <t>BAQUERIZO LOZA JOSE ADRIAN</t>
  </si>
  <si>
    <t>0923238646</t>
  </si>
  <si>
    <t xml:space="preserve">OBRERO DE CAMPO </t>
  </si>
  <si>
    <t>0202215893</t>
  </si>
  <si>
    <t>BARROSO MASAQUIZA LUIS EFRAIN</t>
  </si>
  <si>
    <t>BASURTO LOZA ANGEL RODOLFO</t>
  </si>
  <si>
    <t>BODEGUERO DE CAMPO</t>
  </si>
  <si>
    <t>BERMEO APOLO DEINER PATRICIO</t>
  </si>
  <si>
    <t>0706230083</t>
  </si>
  <si>
    <t>1150387189</t>
  </si>
  <si>
    <t>BONILLA SALINAS FRANCISCO JAVIER</t>
  </si>
  <si>
    <t>BRAVO OVIEDO WELLINTONG SIMON</t>
  </si>
  <si>
    <t>0703862201</t>
  </si>
  <si>
    <t>0803855196</t>
  </si>
  <si>
    <t>1104782816</t>
  </si>
  <si>
    <t>1105066763</t>
  </si>
  <si>
    <t>0106502982</t>
  </si>
  <si>
    <t>BUÑAY YACELGA PAUL ANDRES</t>
  </si>
  <si>
    <t>1750314418</t>
  </si>
  <si>
    <t>BUSTAMANTE DAVILA FRANCISCO HUMBERTO</t>
  </si>
  <si>
    <t>1104158413</t>
  </si>
  <si>
    <t xml:space="preserve">BUSTAMANTE GOMEZ ALVARO ESTUARDO	</t>
  </si>
  <si>
    <t>0706361177</t>
  </si>
  <si>
    <t>24/07/1993</t>
  </si>
  <si>
    <t>CABRERA MERINO STALIN WLADIMIR</t>
  </si>
  <si>
    <t>CAICEDO RIVERA LENIN GUILLERMO</t>
  </si>
  <si>
    <t>0503889644</t>
  </si>
  <si>
    <t>ASISTENTE DE OPERACIONES</t>
  </si>
  <si>
    <t>CALERO CHUQUIMARCA DENIS OMAR</t>
  </si>
  <si>
    <t>CALERO CHUQUIMARCA NIXON LEONARDO</t>
  </si>
  <si>
    <t>CALERO GOMEZ ANGEL ROSENDO</t>
  </si>
  <si>
    <t>CALLE CASTILLO DIEGO SAUL</t>
  </si>
  <si>
    <t>1725662942</t>
  </si>
  <si>
    <t>CAMPOVERDE CAMPOVERDE ANGEL PASTOR</t>
  </si>
  <si>
    <t>CARCELEN MENDEZ HANNA ELIZABETH</t>
  </si>
  <si>
    <t>PASANTE DE TALENTO HUMANO</t>
  </si>
  <si>
    <t>CARMONA OLMEDO CARLOS OSMANY</t>
  </si>
  <si>
    <t>1106005877</t>
  </si>
  <si>
    <t xml:space="preserve">CARRERA BRAVO ALEX JEAMPIERE </t>
  </si>
  <si>
    <t>115097375</t>
  </si>
  <si>
    <t>1106006693</t>
  </si>
  <si>
    <t>CARRION CUEVA JHON PATRICIO</t>
  </si>
  <si>
    <t>1106005711</t>
  </si>
  <si>
    <t>CARRION PARDO JACKSON VITALIANO</t>
  </si>
  <si>
    <t>1106207002</t>
  </si>
  <si>
    <t>1105193344</t>
  </si>
  <si>
    <t xml:space="preserve">CARRION PARDO ULVIO FRANCISCO </t>
  </si>
  <si>
    <t>CARVAJAL CAISAGUANO DARWIN MAURICIO</t>
  </si>
  <si>
    <t>CASQUETE SAAVEDRA DANIEL EDUARDO</t>
  </si>
  <si>
    <t>0803040252</t>
  </si>
  <si>
    <t>CASTILLO BARBOSA MARCOS</t>
  </si>
  <si>
    <t>0802195644</t>
  </si>
  <si>
    <t>CASTRO QUELAL MAYRA FERNANDA</t>
  </si>
  <si>
    <t>GERENTE ADMINSITRATIVA FINANCIERA</t>
  </si>
  <si>
    <t>1720735941</t>
  </si>
  <si>
    <t>MEDICO OCUPACIONAL</t>
  </si>
  <si>
    <t>CEVALLOS ERAZO JUAN CARLOS</t>
  </si>
  <si>
    <t>1713296364</t>
  </si>
  <si>
    <t>7/3/1986</t>
  </si>
  <si>
    <t>SOLDADOR</t>
  </si>
  <si>
    <t>CHAVEZ ANDINO AZARIA DEL CISNE</t>
  </si>
  <si>
    <t>1722930565</t>
  </si>
  <si>
    <t>CHAVEZ VEGA JUAN GABRIEL</t>
  </si>
  <si>
    <t>0201767373</t>
  </si>
  <si>
    <t>CHICAIZA INTE EDGAR ERNESTO</t>
  </si>
  <si>
    <t>CHIRIAP TSENKUSH SAUL DIONICIO</t>
  </si>
  <si>
    <t>CIFUENTES TAFUR DIEGO FERNANDO</t>
  </si>
  <si>
    <t>1104587900</t>
  </si>
  <si>
    <t>1103211460</t>
  </si>
  <si>
    <t>CORDERO JIMENEZ ROMALDO DANILO</t>
  </si>
  <si>
    <t>1103612519</t>
  </si>
  <si>
    <t>CORDOVA CASTELLANO CRISTIAN VINICIO</t>
  </si>
  <si>
    <t>0503388985</t>
  </si>
  <si>
    <t>CORDOVA CORDOVA JULIO FRANCISCO</t>
  </si>
  <si>
    <t>ASISTENTE DE BODEGA</t>
  </si>
  <si>
    <t xml:space="preserve">CORRALES VITERI ERIKA ESTEFANIA </t>
  </si>
  <si>
    <t>0302118690</t>
  </si>
  <si>
    <t>1150463253</t>
  </si>
  <si>
    <t>0105851166</t>
  </si>
  <si>
    <t>RESPONSABLE HSE</t>
  </si>
  <si>
    <t>DAVILA UGIANDA GREDY GEOVANNY</t>
  </si>
  <si>
    <t>1723582803</t>
  </si>
  <si>
    <t>SERVICIOS GENERALES</t>
  </si>
  <si>
    <t>DELGADO MORENO KARLA GEOVANNA</t>
  </si>
  <si>
    <t>1315655199</t>
  </si>
  <si>
    <t>DOMINGUEZ GUAJALA DENIS JOEL</t>
  </si>
  <si>
    <t>1104130263</t>
  </si>
  <si>
    <t>OPERADOR DE IH</t>
  </si>
  <si>
    <t>ERAZO NAVARRETE MISAEL EUSEVIO</t>
  </si>
  <si>
    <t>ERRAEZ ERRAEZ ROLANDO CAYETANO</t>
  </si>
  <si>
    <t>0105695647</t>
  </si>
  <si>
    <t>1719819797</t>
  </si>
  <si>
    <t xml:space="preserve">ESPINOSA LINCANGO VERONICA PATRICIA </t>
  </si>
  <si>
    <t>0706749769</t>
  </si>
  <si>
    <t>1724198096</t>
  </si>
  <si>
    <t>1400886568</t>
  </si>
  <si>
    <t>24/12/1990</t>
  </si>
  <si>
    <t>FARIAS ESTUPIÑAN JAIRO ANDRES</t>
  </si>
  <si>
    <t>0803205624</t>
  </si>
  <si>
    <t>FIGUEROA CORRALES ALVARO SEBASTIAN</t>
  </si>
  <si>
    <t>0504604737</t>
  </si>
  <si>
    <t>FRAY GARCIA ERICK DAVID</t>
  </si>
  <si>
    <t>FREIRE ROMERO LESLIE JAMILETH</t>
  </si>
  <si>
    <t>0750118200</t>
  </si>
  <si>
    <t xml:space="preserve">AYUDANTE DE COCINA </t>
  </si>
  <si>
    <t>1106005695</t>
  </si>
  <si>
    <t>GAONA MERINO EDDY EDEN</t>
  </si>
  <si>
    <t>0703186825</t>
  </si>
  <si>
    <t>1724030943</t>
  </si>
  <si>
    <t>PASANTE DE MANTENIMIENTO</t>
  </si>
  <si>
    <t>GARZON VALLEJOS RICHARD ALEXANDER</t>
  </si>
  <si>
    <t>AR374555</t>
  </si>
  <si>
    <t>GRANADOS ARANDA YOHANY</t>
  </si>
  <si>
    <t>GUACHAMIN ARAMBULO MARIBEL JACQUELINE</t>
  </si>
  <si>
    <t>COORDINADOR CONTABLE</t>
  </si>
  <si>
    <t>GUAGALANGO RECALDE ANA ISABEL</t>
  </si>
  <si>
    <t xml:space="preserve">AYUDANTE DE PERFORACION </t>
  </si>
  <si>
    <t>1722080759</t>
  </si>
  <si>
    <t>ASISTENTE DE TALENTO HUMANO</t>
  </si>
  <si>
    <t>0503198236</t>
  </si>
  <si>
    <t>MECANICO DE TALLER</t>
  </si>
  <si>
    <t>GUEVARA HARO ANDERSON DANILO</t>
  </si>
  <si>
    <t>GUTIERREZ AVILEZ PAULINA NICOLD</t>
  </si>
  <si>
    <t>0502652530</t>
  </si>
  <si>
    <t>HERNANDEZ CRISTOBAL KLEBER JIMMY</t>
  </si>
  <si>
    <t>0925807794</t>
  </si>
  <si>
    <t>0705010973</t>
  </si>
  <si>
    <t>JARAMILLO ESPINOZA SANTIAGO ISRAEL</t>
  </si>
  <si>
    <t>1106001470</t>
  </si>
  <si>
    <t>JARAMILLO VILLAFUERTE HECTOR BLADIMIR</t>
  </si>
  <si>
    <t>0704920388</t>
  </si>
  <si>
    <t>CAPATAZ DE CAMPO</t>
  </si>
  <si>
    <t>JAYA JAYA JONATHAN STALIN</t>
  </si>
  <si>
    <t>1104862691</t>
  </si>
  <si>
    <t>1104629348</t>
  </si>
  <si>
    <t>1105577678</t>
  </si>
  <si>
    <t>JIMENEZ CORREA ANGEL DANIEL</t>
  </si>
  <si>
    <t>1106034869</t>
  </si>
  <si>
    <t>JIMENEZ CUASCOTA JONATHAN STALIN</t>
  </si>
  <si>
    <t>1104156771</t>
  </si>
  <si>
    <t>JIMENEZ JIMENEZ ANGEL VINICIO</t>
  </si>
  <si>
    <t>1103688428</t>
  </si>
  <si>
    <t>JIMENEZ JIMENEZ CRISTOBAL JOEL</t>
  </si>
  <si>
    <t>JIMENEZ JIMENEZ EDWIN SANTOS</t>
  </si>
  <si>
    <t>2100160213</t>
  </si>
  <si>
    <t>JIMENEZ JIMENEZ HOLGER EFREN</t>
  </si>
  <si>
    <t>1103435937</t>
  </si>
  <si>
    <t>1150204145</t>
  </si>
  <si>
    <t>0704569656</t>
  </si>
  <si>
    <t>1105207870</t>
  </si>
  <si>
    <t>JIMENEZ RODRIGUEZ DENNYS FRANCISCO</t>
  </si>
  <si>
    <t>1106038902</t>
  </si>
  <si>
    <t xml:space="preserve">JUMBO CORREA ADRIAN JONATHAN </t>
  </si>
  <si>
    <t>JUMBO CORREA EYSTER ANDRÉS</t>
  </si>
  <si>
    <t xml:space="preserve">JUMBO LAPO DANIEL JESUS </t>
  </si>
  <si>
    <t>1150159174</t>
  </si>
  <si>
    <t>JUMBO MERINO MANUEL EDMUNDO</t>
  </si>
  <si>
    <t>LAFEBRE ALVAREZ EDISON VICENTE</t>
  </si>
  <si>
    <t xml:space="preserve">LEON  BROCEL KARLA </t>
  </si>
  <si>
    <t>0926343575</t>
  </si>
  <si>
    <t>LLUGSHA SIZA LENIN BLADIMIR</t>
  </si>
  <si>
    <t>1850289107</t>
  </si>
  <si>
    <t>LOMBEIDA MEDRANO GEOVANNY JAVIER</t>
  </si>
  <si>
    <t>0923604318</t>
  </si>
  <si>
    <t>LOPEZ MAYA WIDER IVAN</t>
  </si>
  <si>
    <t>LOPEZ SAFLA KLEVER GEOVANNY</t>
  </si>
  <si>
    <t>0550338750</t>
  </si>
  <si>
    <t>LOYA ANDRANGO JOHN MAICOL</t>
  </si>
  <si>
    <t>LOYO QUISPE DIANA DEL ROCIO</t>
  </si>
  <si>
    <t>LUCERO SANCHEZ NERY NAUN</t>
  </si>
  <si>
    <t>0704082113</t>
  </si>
  <si>
    <t>MANCILLA SARANGO JEFFERSON JAHYR</t>
  </si>
  <si>
    <t>MARQUEZ ANDRADE JOCELYN ANDREA</t>
  </si>
  <si>
    <t>1720166303</t>
  </si>
  <si>
    <t>MASA AGREDA ANGEL FLORESMILO</t>
  </si>
  <si>
    <t>1105290199</t>
  </si>
  <si>
    <t xml:space="preserve">MASACHE TORRES ANGEL STALIN 	</t>
  </si>
  <si>
    <t>1150752853</t>
  </si>
  <si>
    <t xml:space="preserve">MASAPANTA MENA EMERSON ADRIAN </t>
  </si>
  <si>
    <t>0504200767</t>
  </si>
  <si>
    <t>MEDINA ANALUISA BRYAN ENRIQUE</t>
  </si>
  <si>
    <t>0503028169</t>
  </si>
  <si>
    <t xml:space="preserve">BOMBERO </t>
  </si>
  <si>
    <t>MENDOZA PATIÑO JOSE FELIPE</t>
  </si>
  <si>
    <t>MEZA VITERI DAVID ALEJANDRO</t>
  </si>
  <si>
    <t>1722701206</t>
  </si>
  <si>
    <t>MORA ALMEIDA MAURO ISRAEL</t>
  </si>
  <si>
    <t>MORA CARREÑO OLGER DAVID</t>
  </si>
  <si>
    <t>0106330020</t>
  </si>
  <si>
    <t>MORALES BENALCAZAR RICARDO DAVID</t>
  </si>
  <si>
    <t xml:space="preserve">ASISTENTE HSE </t>
  </si>
  <si>
    <t>0503965527</t>
  </si>
  <si>
    <t>MORENO HARO SARA DEL PILAR</t>
  </si>
  <si>
    <t>MOROCHO ERRAEZ FREDDY NAHUN</t>
  </si>
  <si>
    <t>0105449151</t>
  </si>
  <si>
    <t>NOGALES AGUILAR JOSE DAVID</t>
  </si>
  <si>
    <t xml:space="preserve">NOGALES AGUILAR WILLIAM DANIEL </t>
  </si>
  <si>
    <t xml:space="preserve">NOROÑA CAMPOVERDE ANTHONY DANIEL </t>
  </si>
  <si>
    <t>1725391120</t>
  </si>
  <si>
    <t>1721629895</t>
  </si>
  <si>
    <t>1106004003</t>
  </si>
  <si>
    <t>1106002874</t>
  </si>
  <si>
    <t>INGENIERO EN SISTEMAS</t>
  </si>
  <si>
    <t>0705023760</t>
  </si>
  <si>
    <t xml:space="preserve">PAATI PINCHUPA PAUL RODRIGO </t>
  </si>
  <si>
    <t>1723957583</t>
  </si>
  <si>
    <t xml:space="preserve">PACHACAMA PACHACAMA JOSE LUIS </t>
  </si>
  <si>
    <t>PALOMINO VALDIVIESO LUIS GERARDO</t>
  </si>
  <si>
    <t>0604438242</t>
  </si>
  <si>
    <t>1105589954</t>
  </si>
  <si>
    <t>PARDO MEDINO STALIN JAMIL</t>
  </si>
  <si>
    <t>1104714439</t>
  </si>
  <si>
    <t>PATIÑO MOROCHO CARLOS MANUEL</t>
  </si>
  <si>
    <t>0103525374</t>
  </si>
  <si>
    <t>PATIÑO RAMOS ORLANDO XAVIER</t>
  </si>
  <si>
    <t>1104645161</t>
  </si>
  <si>
    <t>PATIÑO ROSARIO AUGUSTO DARIO</t>
  </si>
  <si>
    <t>1106090929</t>
  </si>
  <si>
    <t>PAZTO MONTERO JEFFERSON DANIEL</t>
  </si>
  <si>
    <t>PEREZ PINTADO MICHAEL ADRIAN</t>
  </si>
  <si>
    <t>PEREZ SILVA BRYAN VINICIO</t>
  </si>
  <si>
    <t>PEREZ SISALIMA JAVIER GIOVANNI</t>
  </si>
  <si>
    <t>PEREZ VASQUEZ IVAN ALEXANDER</t>
  </si>
  <si>
    <t>PILATUÑA VERDUGO STALIN NICOLAS</t>
  </si>
  <si>
    <t>PILLAJO SAMBACHE LISETH PAOLA</t>
  </si>
  <si>
    <t>1723302418</t>
  </si>
  <si>
    <t xml:space="preserve">PINZON ENRIQUEZ LEONARDO EMANUEL </t>
  </si>
  <si>
    <t>1723017810</t>
  </si>
  <si>
    <t>PONCE PONCE DANILO FRANCISCO</t>
  </si>
  <si>
    <t>1150113908</t>
  </si>
  <si>
    <t>PONCE PONCE GERARDO BELARMINO</t>
  </si>
  <si>
    <t>1150449393</t>
  </si>
  <si>
    <t>0503442428</t>
  </si>
  <si>
    <t>1726091711</t>
  </si>
  <si>
    <t>PONCE VARGAS DIEGO ANDREW</t>
  </si>
  <si>
    <t>1721775003</t>
  </si>
  <si>
    <t>29/02/1996</t>
  </si>
  <si>
    <t>PONTON TORO MARIA XIMENA</t>
  </si>
  <si>
    <t>0705200152</t>
  </si>
  <si>
    <t>AYUDANTE DE COCINA</t>
  </si>
  <si>
    <t>POZO HUERTA LUIS ALFREDO</t>
  </si>
  <si>
    <t>0401578752</t>
  </si>
  <si>
    <t>QUEREMBAS NARVAEZ DAVID OLMEDO</t>
  </si>
  <si>
    <t>QUILCA TIPANLUISA EDWIN STALIN</t>
  </si>
  <si>
    <t>QUINTANILLA MONTEZUMA YESSENIA SOFIA</t>
  </si>
  <si>
    <t>COORDINADOR DE TALENTO HUMANO</t>
  </si>
  <si>
    <t>0103488375</t>
  </si>
  <si>
    <t>REVELO MORALES BRAYAN FRANCISCO</t>
  </si>
  <si>
    <t>1723880363</t>
  </si>
  <si>
    <t>RODRIGUEZ  RODRIGUEZ  MIGUEL ANGEL</t>
  </si>
  <si>
    <t>MONITOR AMBIENTAL</t>
  </si>
  <si>
    <t>RODRIGUEZ AYALA RAMIRO RAMON</t>
  </si>
  <si>
    <t>RODRIGUEZ CALLE IGINIO FABIAN</t>
  </si>
  <si>
    <t>1102836580</t>
  </si>
  <si>
    <t>11/1/1970</t>
  </si>
  <si>
    <t>RODRIGUEZ CARRION CARLOS EFREN</t>
  </si>
  <si>
    <t>1103107379</t>
  </si>
  <si>
    <t>RODRIGUEZ CARRION LUIS ORLANDO</t>
  </si>
  <si>
    <t>1102971841</t>
  </si>
  <si>
    <t>1105794885</t>
  </si>
  <si>
    <t>1104367576</t>
  </si>
  <si>
    <t>1104835267</t>
  </si>
  <si>
    <t>ROJAS ALMAGRO CARLOS ALEXIS</t>
  </si>
  <si>
    <t>ROJAS CUMBICUS CARLOS MONTELICIO</t>
  </si>
  <si>
    <t>0703157842</t>
  </si>
  <si>
    <t>ROJAS MACAS JHONATAN ANDRES</t>
  </si>
  <si>
    <t>ROJAS RISQUEZ ROBERTO ENRIQUE</t>
  </si>
  <si>
    <t>0962435616</t>
  </si>
  <si>
    <t>ROJAS ROJAS JHON FROILAN</t>
  </si>
  <si>
    <t>ROMERO FLORES CARLOS LUIS</t>
  </si>
  <si>
    <t>ROMERO PORRAS WILMAN STALIN</t>
  </si>
  <si>
    <t>0702927351</t>
  </si>
  <si>
    <t>ROSARIO BRAVO CRISTIAN ALEXANDER</t>
  </si>
  <si>
    <t>1150362364</t>
  </si>
  <si>
    <t>8/7/2003</t>
  </si>
  <si>
    <t>ROSARIO RODRIGUEZ JUAN DIEGO</t>
  </si>
  <si>
    <t>ROSARIO VACA JOSE OLEGARIO</t>
  </si>
  <si>
    <t>0704963826</t>
  </si>
  <si>
    <t>ROSERO VILLALBA JILSON ALEXANDER</t>
  </si>
  <si>
    <t>SALAZAR RODRIGUEZ ALEX DALTON</t>
  </si>
  <si>
    <t xml:space="preserve">SALINAS PACHECO NIXON NEPTALI </t>
  </si>
  <si>
    <t>SALTO JACHERO JUAN DIEGO</t>
  </si>
  <si>
    <t>COORDINADOR DE MANTENIMIENTO</t>
  </si>
  <si>
    <t>0107622821</t>
  </si>
  <si>
    <t>SANCHIM TSWINK MARIO ALFONSO</t>
  </si>
  <si>
    <t>SANDOVAL GARCIA GEOVANNA CELIA</t>
  </si>
  <si>
    <t>0925261943</t>
  </si>
  <si>
    <t>SANMARTIN CABRERA EDISON JUNNIOR</t>
  </si>
  <si>
    <t>SANMARTIN MORA LUIS NELSON</t>
  </si>
  <si>
    <t>0103035580</t>
  </si>
  <si>
    <t>SANMARTIN ORTEGA LEYBER ALEXANDER</t>
  </si>
  <si>
    <t>0150361871</t>
  </si>
  <si>
    <t xml:space="preserve">SEGURA MURILLO JINSOP FABIAN	</t>
  </si>
  <si>
    <t>0750011058</t>
  </si>
  <si>
    <t>09/01/2001</t>
  </si>
  <si>
    <t>SHIKI TUKUP TITO GABRIEL</t>
  </si>
  <si>
    <t>1401206246</t>
  </si>
  <si>
    <t>GERENTE HSE</t>
  </si>
  <si>
    <t>SIERRA OSORIO OMAR FELIPE</t>
  </si>
  <si>
    <t>BA868829</t>
  </si>
  <si>
    <t>SIGCHO MONCAYO JORGE ANDRES</t>
  </si>
  <si>
    <t>1900775378</t>
  </si>
  <si>
    <t xml:space="preserve">SUAREZ KASENT CHARIP STALYN </t>
  </si>
  <si>
    <t>1720662152</t>
  </si>
  <si>
    <t>TANCHIM PAPUE TSUNKI PAUL</t>
  </si>
  <si>
    <t>TANCHIM PAPUE TUNA ADRIANO</t>
  </si>
  <si>
    <t>0350089140</t>
  </si>
  <si>
    <t>TERAN ANCHALA KLEBER MAURICIO</t>
  </si>
  <si>
    <t>1004110274</t>
  </si>
  <si>
    <t>TERAN CANO PAUL MAURICIO</t>
  </si>
  <si>
    <t>1105034423</t>
  </si>
  <si>
    <t>TORRES CUEVA JOSE ALMICAR</t>
  </si>
  <si>
    <t>1102828637</t>
  </si>
  <si>
    <t>0105367635</t>
  </si>
  <si>
    <t>TORRES PARDO MANUEL IVAN</t>
  </si>
  <si>
    <t>1150008876</t>
  </si>
  <si>
    <t>1104438484</t>
  </si>
  <si>
    <t xml:space="preserve">TORRES VILLALTA RICHARD ADRIAN </t>
  </si>
  <si>
    <t>TSEREMP WACHAPA MASHU BENIGNO</t>
  </si>
  <si>
    <t>UNKUCH PUJUPAT WILMER OMAR</t>
  </si>
  <si>
    <t>URVINA LOJA JHOVANY FERNANDO</t>
  </si>
  <si>
    <t>0106241698</t>
  </si>
  <si>
    <t>URVINA LOJA ROBERTO MARCELO</t>
  </si>
  <si>
    <t>0106241573</t>
  </si>
  <si>
    <t>GERENTE GENERAL</t>
  </si>
  <si>
    <t>VALAREZO BELTRAN KLEBER RODRIGO</t>
  </si>
  <si>
    <t>0704749258</t>
  </si>
  <si>
    <t>VALAREZO HIDALGO HERMAN DAVID</t>
  </si>
  <si>
    <t>0704396068</t>
  </si>
  <si>
    <t>VALLEJO DIAZ FREDDY GONZALO</t>
  </si>
  <si>
    <t>VARGAS APUNTES DORYS JEANNETH</t>
  </si>
  <si>
    <t>VARGAS MENDOZA EDISON FELIPE</t>
  </si>
  <si>
    <t>0706618964</t>
  </si>
  <si>
    <t xml:space="preserve">VARGAS QUEZADA JONATHAN STEVEEN	</t>
  </si>
  <si>
    <t>1752285088</t>
  </si>
  <si>
    <t>VASQUEZ GUEVARA JOSE ELMER</t>
  </si>
  <si>
    <t>VELEZ PUERTAS JIMMY RUPERTO</t>
  </si>
  <si>
    <t>1204446403</t>
  </si>
  <si>
    <t>0117212705</t>
  </si>
  <si>
    <t>VERA VILLALTA MANUEL STALIN</t>
  </si>
  <si>
    <t>1722403407</t>
  </si>
  <si>
    <t>VILLENA GUEVARA ROGER</t>
  </si>
  <si>
    <t>WAJARAI SAANT STALIN FREDY</t>
  </si>
  <si>
    <t>YANEZ ALMEIDA CARLOS EDUARDO</t>
  </si>
  <si>
    <t>YANKUR SHAKAIM WILLIAN WILFO</t>
  </si>
  <si>
    <t>YAR GUAPAZ HENRY GEOVANNY</t>
  </si>
  <si>
    <t>YAZAN ESPINOSA RODDY DANIEL</t>
  </si>
  <si>
    <t xml:space="preserve">ZAMBRANO PINZÓN ANGEL ALEXANDER </t>
  </si>
  <si>
    <t>ZAPATA CAUTULLIN JORGE ALEJANDRO</t>
  </si>
  <si>
    <t>ZARUMA SARAGURO NIXON ALFREDO</t>
  </si>
  <si>
    <t>0750035396</t>
  </si>
  <si>
    <t>VILLACIS ESPIN JUAN FRANCISCO</t>
  </si>
  <si>
    <t>'1803445616</t>
  </si>
  <si>
    <t>ADMINISTRADOR GENERAL</t>
  </si>
  <si>
    <t>25/10/1981</t>
  </si>
  <si>
    <t>JARAMILLO ORELLANA KAROLYN JANELA</t>
  </si>
  <si>
    <t>1400700017</t>
  </si>
  <si>
    <t>1450006968</t>
  </si>
  <si>
    <t>1950050805</t>
  </si>
  <si>
    <t>TELLO QUINTEROS HENRY PATRICIO</t>
  </si>
  <si>
    <t>1804851127</t>
  </si>
  <si>
    <t>INFANTE BUCHELI DAVID FELIPE</t>
  </si>
  <si>
    <t>1721346748</t>
  </si>
  <si>
    <t>NARVAEZ BRITO JUSTO MOISES</t>
  </si>
  <si>
    <t>0705582484</t>
  </si>
  <si>
    <t xml:space="preserve">AWANANCH PITIUR ESAT ALEXANDER </t>
  </si>
  <si>
    <t>1450173909</t>
  </si>
  <si>
    <t xml:space="preserve">CORDOVA MIRANDA FABIAN MARCELO </t>
  </si>
  <si>
    <t>0106329188</t>
  </si>
  <si>
    <t>SANCHEZ BRITO EDISSON RONALDO</t>
  </si>
  <si>
    <t>0106419344</t>
  </si>
  <si>
    <t>2/2/1999</t>
  </si>
  <si>
    <t xml:space="preserve">SALAZAR VALLADARES JONATHAN JAVIER </t>
  </si>
  <si>
    <t>0503751919</t>
  </si>
  <si>
    <t>CALVA MONTOYA CHRISTIAN ANDRES</t>
  </si>
  <si>
    <t>1723990071</t>
  </si>
  <si>
    <t>ALVAREZ GALLEGOS EVELYN SORAYA</t>
  </si>
  <si>
    <t>1726568221</t>
  </si>
  <si>
    <t>PEREA SOLARTE HENRI IVER</t>
  </si>
  <si>
    <t>0802338509</t>
  </si>
  <si>
    <t>GUEVARA MORENO KLEVER JAVIER</t>
  </si>
  <si>
    <t>VASQUEZ USIÑA JEFFERSON DAVID</t>
  </si>
  <si>
    <t>SOLIS ALMEIDA KEVIN EDUARDO</t>
  </si>
  <si>
    <t>1750764134</t>
  </si>
  <si>
    <t>ASISTENTE TH DE PROYECTO</t>
  </si>
  <si>
    <t>07/08/2000</t>
  </si>
  <si>
    <t>AWANANCH PITIUR TUNTUAM TIMOTEO</t>
  </si>
  <si>
    <t>1450313901</t>
  </si>
  <si>
    <t>ESPINOZA VILELA LUIS FERNANDO</t>
  </si>
  <si>
    <t>TUKUP TITO JUWA CHIWIANT</t>
  </si>
  <si>
    <t>LAVERDE MONGE JAVIER ISRAEL</t>
  </si>
  <si>
    <t>0503896037</t>
  </si>
  <si>
    <t>CARREÑO MOLINA DARWIN MANUEL</t>
  </si>
  <si>
    <t>0106326598</t>
  </si>
  <si>
    <t>REPOSO MEDICO</t>
  </si>
  <si>
    <t>FECHA</t>
  </si>
  <si>
    <t xml:space="preserve">BASE </t>
  </si>
  <si>
    <t>NOMBRE COMPLETO</t>
  </si>
  <si>
    <t>N° DE IDENTIFICACIÓN</t>
  </si>
  <si>
    <t>SEXO</t>
  </si>
  <si>
    <t>ABAD PARDO CRISTIAN OMAR</t>
  </si>
  <si>
    <t>ALBAN LOAYZA ANTHONNY JOEL</t>
  </si>
  <si>
    <t>1723340772</t>
  </si>
  <si>
    <t>AMAYA CARDENAS PATRICIO EDUARDO</t>
  </si>
  <si>
    <t>0105481220</t>
  </si>
  <si>
    <t xml:space="preserve">ANGUASHA ATAMAINT RICKY CRISTIAN </t>
  </si>
  <si>
    <t>1401037898</t>
  </si>
  <si>
    <t>ARIAS OLMEDO MATEO NICOLAS</t>
  </si>
  <si>
    <t>1756113880</t>
  </si>
  <si>
    <t>ARMIJOS MENDOZA ROBERTO CARLOS</t>
  </si>
  <si>
    <t>ASTUDILLO ESPINOZA DARWIN STALYN</t>
  </si>
  <si>
    <t>0106327265</t>
  </si>
  <si>
    <t xml:space="preserve">AVILA ROMAN EDGAR PATRICIO </t>
  </si>
  <si>
    <t>0106479637</t>
  </si>
  <si>
    <t xml:space="preserve">AWAK ZAMAREÑO EDY GERMAN </t>
  </si>
  <si>
    <t xml:space="preserve">AYORA BRITO YOFRE JONATHAN </t>
  </si>
  <si>
    <t>0106295785</t>
  </si>
  <si>
    <t>BENAVIDES GARZON JEFFERSON FABIAN</t>
  </si>
  <si>
    <t>1726205378</t>
  </si>
  <si>
    <t>BRITO SANCHEZ CARLOS ROBERTO</t>
  </si>
  <si>
    <t>CAGUANA BATALLA GEOVANNY ALEXANDER</t>
  </si>
  <si>
    <t>1726122474</t>
  </si>
  <si>
    <t>CAJAMARCA CURAY JOEL EFRAIN</t>
  </si>
  <si>
    <t xml:space="preserve">0953458676 </t>
  </si>
  <si>
    <t>CALVA MENECE LEODAN HIGINIO</t>
  </si>
  <si>
    <t>2150250674</t>
  </si>
  <si>
    <t>CASTELLANOS CARTAGENA CHRISTIAN LENIN</t>
  </si>
  <si>
    <t>1718929902</t>
  </si>
  <si>
    <t>CASTILLO RODAS ZIDANE MOISES</t>
  </si>
  <si>
    <t>1900754894</t>
  </si>
  <si>
    <t>CASTILLO SILVESTRE NOEL DAVID</t>
  </si>
  <si>
    <t>120084473</t>
  </si>
  <si>
    <t>12/02/1985</t>
  </si>
  <si>
    <t xml:space="preserve">CEDEÑO MOREIRA BRYAN FRANCISCO </t>
  </si>
  <si>
    <t>2101323935</t>
  </si>
  <si>
    <t xml:space="preserve">CHIRIBOGA QUISHPE JUAN ALVARO </t>
  </si>
  <si>
    <t>1900595461</t>
  </si>
  <si>
    <t>CLAVIJO HERNANDEZ DARIO XAVIER</t>
  </si>
  <si>
    <t>1726316134</t>
  </si>
  <si>
    <t xml:space="preserve">CODENA LOPEZ CRISTIAN FRANCISCO </t>
  </si>
  <si>
    <t>0984925304</t>
  </si>
  <si>
    <t>CUENCA ACARO AGUSTIN ALCIDES</t>
  </si>
  <si>
    <t>1105109779</t>
  </si>
  <si>
    <t>CUENCA MAZHENDA FREDY SALVADOR</t>
  </si>
  <si>
    <t>CUNDULLE CUNDULLE NESTOR PAUL</t>
  </si>
  <si>
    <t>1722361159</t>
  </si>
  <si>
    <t>DAVILA CONDOY JOSELYN ESTEFANIA</t>
  </si>
  <si>
    <t>0707001285</t>
  </si>
  <si>
    <t>05/03/1997</t>
  </si>
  <si>
    <t>DIAZ FRANCO RONNY LEANDRO</t>
  </si>
  <si>
    <t>0803707223</t>
  </si>
  <si>
    <t xml:space="preserve">ERAZO VALENCIA GUILLERMO ISAAC </t>
  </si>
  <si>
    <t>ESCOBAR BOSQUES OSCAR VINICIO</t>
  </si>
  <si>
    <t>1205931841</t>
  </si>
  <si>
    <t>ESPIN PINEDA SANDRA MICHELLE</t>
  </si>
  <si>
    <t>1718268947</t>
  </si>
  <si>
    <t>ESPINOZA MARIN CARLOS ALBERTO</t>
  </si>
  <si>
    <t>0802942177</t>
  </si>
  <si>
    <t>0802590893</t>
  </si>
  <si>
    <t>FLORES LLUGLLUNA CESAR IVAN</t>
  </si>
  <si>
    <t>1722570445</t>
  </si>
  <si>
    <t>FLORES PULLAS MAURICIO ERNESTO</t>
  </si>
  <si>
    <t>1003682372</t>
  </si>
  <si>
    <t>FLORES QUILCA WILLIAM VINICIO</t>
  </si>
  <si>
    <t>1718999319</t>
  </si>
  <si>
    <t xml:space="preserve">FLORES SANCHEZ CESAR ANDRES </t>
  </si>
  <si>
    <t xml:space="preserve"> 0503785651</t>
  </si>
  <si>
    <t xml:space="preserve">GARCIA LOPEZ JOSE EDUARDO </t>
  </si>
  <si>
    <t>0705925022</t>
  </si>
  <si>
    <t>1004314421</t>
  </si>
  <si>
    <t>ANALISTA HSE</t>
  </si>
  <si>
    <t>HERNANDEZ VARGAS NEYER ANDERSON</t>
  </si>
  <si>
    <t>2200133276</t>
  </si>
  <si>
    <t xml:space="preserve">HIDALGO CRESPO EFREN ALVARO </t>
  </si>
  <si>
    <t>1105561946</t>
  </si>
  <si>
    <t>HUAMANI HUAMANI HELAR MARCELINO</t>
  </si>
  <si>
    <t>442094859</t>
  </si>
  <si>
    <t>17/10/1985</t>
  </si>
  <si>
    <t>IMBAQUINGO CABEZAS NELSON HERNAN</t>
  </si>
  <si>
    <t>1720284650</t>
  </si>
  <si>
    <t>INTRIAGO JARAMILLO JAMES ANDRES</t>
  </si>
  <si>
    <t>1727014878</t>
  </si>
  <si>
    <t>JETON CASTRO JOHNI ISMAEL</t>
  </si>
  <si>
    <t>0106305931</t>
  </si>
  <si>
    <t>JIMENEZ JIMENEZ CARLOS BENITO</t>
  </si>
  <si>
    <t>JUMBO CAMPOVERDE GERMAN ALEXANDER</t>
  </si>
  <si>
    <t>JUMBO MACAS MANUEL VICENTE</t>
  </si>
  <si>
    <t>LALANGUI MERECI JONATHAN YOSMANY</t>
  </si>
  <si>
    <t>01150784237</t>
  </si>
  <si>
    <t>LARA SALAZAR ALEJANDRO FABRICIO</t>
  </si>
  <si>
    <t>0802944942</t>
  </si>
  <si>
    <t xml:space="preserve">LEMA HERRERA MARITZA ELIZABETH </t>
  </si>
  <si>
    <t>LEMA YUCAILLA JENNY FERNANDA</t>
  </si>
  <si>
    <t>1722907928</t>
  </si>
  <si>
    <t>LOPEZ SAAVEDRA STALIN JESUS</t>
  </si>
  <si>
    <t>1728290527</t>
  </si>
  <si>
    <t>1723035380</t>
  </si>
  <si>
    <t>MALDONADO CONDOY JONATHAN DAVID</t>
  </si>
  <si>
    <t>0750933392</t>
  </si>
  <si>
    <t>MEJIA OBACO BYRON AQUILINO</t>
  </si>
  <si>
    <t>1723646095</t>
  </si>
  <si>
    <t>6/1/1992</t>
  </si>
  <si>
    <t>MINDA MIRANDA JULIO JONATHAN</t>
  </si>
  <si>
    <t>MIRANDA MENA JUAN CARLOS</t>
  </si>
  <si>
    <t>1804332490</t>
  </si>
  <si>
    <t>26/12/1995</t>
  </si>
  <si>
    <t xml:space="preserve">MONTAGUANO FLORES OLGER MAURICIO </t>
  </si>
  <si>
    <t>1722730726</t>
  </si>
  <si>
    <t>MONTESDEOCA CHUVA MARCOS VINICIO</t>
  </si>
  <si>
    <t>1401064843</t>
  </si>
  <si>
    <t>MORA ALMEIDA JHEISON XAVIER</t>
  </si>
  <si>
    <t>MORENO HARO ANGEL GERARDO</t>
  </si>
  <si>
    <t>1003278676</t>
  </si>
  <si>
    <t xml:space="preserve">MOROCHO CALLE JONATHAN FERNANDO </t>
  </si>
  <si>
    <t>01058552177</t>
  </si>
  <si>
    <t>MUEVECELA GUTIERREZ FREDI SALVADOR</t>
  </si>
  <si>
    <t>0106617483</t>
  </si>
  <si>
    <t xml:space="preserve">NANTIP TAIJINT HUGO ALBERTO </t>
  </si>
  <si>
    <t>1900469535</t>
  </si>
  <si>
    <t>1726933714</t>
  </si>
  <si>
    <t>1726273616</t>
  </si>
  <si>
    <t>NOLE RAMIREZ JONATHAN EDUARDO</t>
  </si>
  <si>
    <t>ONTANEDA SAMANIEGO ROBIN ALEJANDRO</t>
  </si>
  <si>
    <t>ORDOÑEZ ORDOÑEZ SANDY FABRICIO</t>
  </si>
  <si>
    <t>1105508681</t>
  </si>
  <si>
    <t xml:space="preserve">ORELLANA GARCIA JOSSELYN MISHELL </t>
  </si>
  <si>
    <t>24/03/1995</t>
  </si>
  <si>
    <t>OVIEDO ORTIZ JESSICA ALEXANDRA</t>
  </si>
  <si>
    <t>1724382864</t>
  </si>
  <si>
    <t>22/12/1996</t>
  </si>
  <si>
    <t>PAATI TSERE DARWIN TITO</t>
  </si>
  <si>
    <t>1900698570</t>
  </si>
  <si>
    <t xml:space="preserve">PAATI TSERE ROMEL GEOVANNY </t>
  </si>
  <si>
    <t>PINTADO ACARO FISHEL ANTHONY</t>
  </si>
  <si>
    <t>1900688845</t>
  </si>
  <si>
    <t>1900456441</t>
  </si>
  <si>
    <t>PLAZA ESPINOZA MILTON LEONARDO</t>
  </si>
  <si>
    <t>0802412437</t>
  </si>
  <si>
    <t>QUILCA TIPANSUISA GINSON PATRICIO</t>
  </si>
  <si>
    <t>1724923733</t>
  </si>
  <si>
    <t>QUISHPE MEJIA LUIS MIGUEL</t>
  </si>
  <si>
    <t>1753831955</t>
  </si>
  <si>
    <t>RAMIREZ TUTIVEN KEVIN MARCELO</t>
  </si>
  <si>
    <t>1755446851</t>
  </si>
  <si>
    <t>RAMIREZ VALLEJOS LUIS ANDRES</t>
  </si>
  <si>
    <t>1003715792</t>
  </si>
  <si>
    <t>REASCOS ZURA WILMER DANIEL</t>
  </si>
  <si>
    <t>1725982910</t>
  </si>
  <si>
    <t>REVELO MORALES STEVEN JOEL</t>
  </si>
  <si>
    <t>1728229772</t>
  </si>
  <si>
    <t>AYUDANTE DE SUELDA/PINTURA</t>
  </si>
  <si>
    <t>09/10/2000</t>
  </si>
  <si>
    <t>1400740831</t>
  </si>
  <si>
    <t>RODRIGUEZ BOLAÑOS JEFFERSON STEVEN</t>
  </si>
  <si>
    <t>042012017</t>
  </si>
  <si>
    <t>ROGEL MONTESDEOCA MAYRA ALEXANDRA</t>
  </si>
  <si>
    <t>0750028029</t>
  </si>
  <si>
    <t>28/10/1995</t>
  </si>
  <si>
    <t>ROMERO DIAZ ROBERT ALEXANDER</t>
  </si>
  <si>
    <t xml:space="preserve">ROSS LOOR JESUS ALEXANDER </t>
  </si>
  <si>
    <t>1312791930</t>
  </si>
  <si>
    <t>22/08/1998</t>
  </si>
  <si>
    <t>SAAVEDRA REASCO JUAN CARLOS</t>
  </si>
  <si>
    <t>0802828541</t>
  </si>
  <si>
    <t>SEVILLA ESTRELLA DIEGO ALEJANDRO</t>
  </si>
  <si>
    <t>SHIMPIUKAT TUKUP ROYER ADRIAN</t>
  </si>
  <si>
    <t>1950172641</t>
  </si>
  <si>
    <t xml:space="preserve">SOLANO LOPEZ DIANA CAROLINA </t>
  </si>
  <si>
    <t>2300133176</t>
  </si>
  <si>
    <t>10/2/1994</t>
  </si>
  <si>
    <t xml:space="preserve">TAIPE PALOMO GUSTAVO STANLIN </t>
  </si>
  <si>
    <t>1401028053</t>
  </si>
  <si>
    <t xml:space="preserve">TERAN CULTID JAMILTON ALEXANDER </t>
  </si>
  <si>
    <t>1004196505</t>
  </si>
  <si>
    <t>TITUAÑA HERNANDEZ JULIANA DANIELA</t>
  </si>
  <si>
    <t>1753943776</t>
  </si>
  <si>
    <t>1/2/2002</t>
  </si>
  <si>
    <t>TOAQUIZA TIPAN HENRY SAUL</t>
  </si>
  <si>
    <t>0550047377</t>
  </si>
  <si>
    <t>03/03/1997</t>
  </si>
  <si>
    <t xml:space="preserve">TOCTO TANDAZO FABIAN ELISEO </t>
  </si>
  <si>
    <t>TORRES MACAS LUIS FERNANDO</t>
  </si>
  <si>
    <t>1151395892</t>
  </si>
  <si>
    <t>TORRES TORRES GELIO RIGOBERTO</t>
  </si>
  <si>
    <t>1102905997</t>
  </si>
  <si>
    <t>5/1/1970</t>
  </si>
  <si>
    <t>TORRES TORRES JOSE ALVARO</t>
  </si>
  <si>
    <t>1150876751</t>
  </si>
  <si>
    <t>1105274524</t>
  </si>
  <si>
    <t>TORRES ZHINGRE JUAN CARLOS</t>
  </si>
  <si>
    <t>TULCAN QUISTANCHALA PABLO GABRIEL</t>
  </si>
  <si>
    <t>0401880257</t>
  </si>
  <si>
    <t>TUNTUAM JUWA ALEJANDRO ISMAEL</t>
  </si>
  <si>
    <t>1450181795</t>
  </si>
  <si>
    <t>TUPIZA FUERTES VICTOR JAVIER</t>
  </si>
  <si>
    <t>1003981584</t>
  </si>
  <si>
    <t>VARGAS SANCHEZ DANIELA DEL CARMEN</t>
  </si>
  <si>
    <t>0706470622</t>
  </si>
  <si>
    <t>21/09/2002</t>
  </si>
  <si>
    <t xml:space="preserve">VASQUEZ ALFARO EDUARDO LUIS </t>
  </si>
  <si>
    <t>123998970</t>
  </si>
  <si>
    <t>22/02/1989</t>
  </si>
  <si>
    <t>VENTURA HURATDO EFRAIN VICTOR</t>
  </si>
  <si>
    <t xml:space="preserve">VERA PINCHOPA ANTHONY XAVIER </t>
  </si>
  <si>
    <t>WAJARAI SAANT MILTON JUAN</t>
  </si>
  <si>
    <t>1400829436</t>
  </si>
  <si>
    <t>WAJARAI SHIRIAP DANIEL ROLANDO</t>
  </si>
  <si>
    <t>1400849020</t>
  </si>
  <si>
    <t xml:space="preserve">YEPEZ  QUINDE ANGEL RODRIGO </t>
  </si>
  <si>
    <t>1500750433</t>
  </si>
  <si>
    <t>02/07/1984</t>
  </si>
  <si>
    <t xml:space="preserve">ZANINBIA PIRUCH JOFRE STALIN </t>
  </si>
  <si>
    <t>ENFERMEDAD COMÚN</t>
  </si>
  <si>
    <t>SI</t>
  </si>
  <si>
    <t>NO</t>
  </si>
  <si>
    <t>REPOSO MÉDICO</t>
  </si>
  <si>
    <t>PRESUNTIVO</t>
  </si>
  <si>
    <t>DEFINITIVO</t>
  </si>
  <si>
    <t>TIPO DE DX</t>
  </si>
  <si>
    <t>DATOS GENERALES</t>
  </si>
  <si>
    <t>DETALLE DE MORBILIDAD</t>
  </si>
  <si>
    <t>PROYECTO:</t>
  </si>
  <si>
    <t>PERÍODO DE INFORME</t>
  </si>
  <si>
    <t>DESDE</t>
  </si>
  <si>
    <t>HASTA</t>
  </si>
  <si>
    <t>Comentarios</t>
  </si>
  <si>
    <t>Firma de quien realizo</t>
  </si>
  <si>
    <t>Fecha</t>
  </si>
  <si>
    <t>ANUAL</t>
  </si>
  <si>
    <t xml:space="preserve">CONSOLIDADO TRIMESTRAL </t>
  </si>
  <si>
    <t>1ER TRIMESTRE</t>
  </si>
  <si>
    <t>2DO TRIMESTRE</t>
  </si>
  <si>
    <t>3ER TRIMESTRE</t>
  </si>
  <si>
    <t>4TO TRIMESTRE</t>
  </si>
  <si>
    <t>MEDICAMENTO O INSUMO MÉDICO</t>
  </si>
  <si>
    <t>N°</t>
  </si>
  <si>
    <t>PRESENTACIÓN</t>
  </si>
  <si>
    <t xml:space="preserve">TIPO </t>
  </si>
  <si>
    <t>CON</t>
  </si>
  <si>
    <t>TOMA FISICA</t>
  </si>
  <si>
    <t>SALDO FINAL</t>
  </si>
  <si>
    <t>SUBTOTAL EGRESO M.</t>
  </si>
  <si>
    <t>FECHA DE CADUCIDAD</t>
  </si>
  <si>
    <t xml:space="preserve">ESTADO </t>
  </si>
  <si>
    <t>DÍAS PARA VENCER</t>
  </si>
  <si>
    <t>IMPORTANTE</t>
  </si>
  <si>
    <t>CATEGORIA</t>
  </si>
  <si>
    <t>ANALG / ANTINFLAM</t>
  </si>
  <si>
    <t>1 GR</t>
  </si>
  <si>
    <t xml:space="preserve">PARACETAMOL </t>
  </si>
  <si>
    <t>ISLA MINT</t>
  </si>
  <si>
    <t>600 MG</t>
  </si>
  <si>
    <t>DICLOFENACO SÓDICO</t>
  </si>
  <si>
    <t>TRAMADOL CLORHIDRATO</t>
  </si>
  <si>
    <t>100 MG</t>
  </si>
  <si>
    <t>NAPROXENO SODICO</t>
  </si>
  <si>
    <t>ANTIBIOTICOS</t>
  </si>
  <si>
    <t>800/160</t>
  </si>
  <si>
    <t>ANTIHISTAMÍNICOS</t>
  </si>
  <si>
    <t>CETIRIZINA</t>
  </si>
  <si>
    <t>METOCLOPRAMIDA</t>
  </si>
  <si>
    <t xml:space="preserve">SALES DE REHIDRATACION </t>
  </si>
  <si>
    <t>40 MG</t>
  </si>
  <si>
    <t>COMPRIMI</t>
  </si>
  <si>
    <t>ANTIM/ANTIF</t>
  </si>
  <si>
    <t>30 G</t>
  </si>
  <si>
    <t>PROBIOTICOS</t>
  </si>
  <si>
    <t>CARDIOV Y DIUR</t>
  </si>
  <si>
    <t>ANESTÉSICOS</t>
  </si>
  <si>
    <t>LIDOCAINA</t>
  </si>
  <si>
    <t>ANTIGRIPALES</t>
  </si>
  <si>
    <t>RELAJANTE MUSCULAR</t>
  </si>
  <si>
    <t xml:space="preserve">FEMEN </t>
  </si>
  <si>
    <t>400 MG</t>
  </si>
  <si>
    <t>ANTIMIGRAÑOSOS</t>
  </si>
  <si>
    <t>OTOLOGICO</t>
  </si>
  <si>
    <t>OFTALMOLOGICO</t>
  </si>
  <si>
    <t>LAGRIMAS ARTIFICIALES</t>
  </si>
  <si>
    <t>ANTIEMETICO</t>
  </si>
  <si>
    <t>BUCAL / ODONTOLOGICO</t>
  </si>
  <si>
    <t>OTOZAMBON</t>
  </si>
  <si>
    <t>8 ML</t>
  </si>
  <si>
    <t>¿ENTREGO MEDICACIÓN?</t>
  </si>
  <si>
    <t>(en blanco)</t>
  </si>
  <si>
    <t>CANTIDAD</t>
  </si>
  <si>
    <t>%</t>
  </si>
  <si>
    <t>Columna1</t>
  </si>
  <si>
    <t>TIPO</t>
  </si>
  <si>
    <t>Cuenta de REPOSO MÉDICO</t>
  </si>
  <si>
    <t>REPOSO</t>
  </si>
  <si>
    <t>COLORADO V</t>
  </si>
  <si>
    <t>PROVINCIA</t>
  </si>
  <si>
    <t>CANTIDAD2</t>
  </si>
  <si>
    <t>CONSUMO ANUAL</t>
  </si>
  <si>
    <t>CONS. PROV</t>
  </si>
  <si>
    <t>CANT</t>
  </si>
  <si>
    <t>REGISTRO DE MORBILIDAD DIARIA</t>
  </si>
  <si>
    <t>CONCENTRADO DE MORBILIDAD DIARIA</t>
  </si>
  <si>
    <t>REGISTRO DE KARDEX DE MEDICAMENTOS E INSUMOS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</si>
</sst>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[$-1540A]dd\-mmm\-yy;@"/>
    <numFmt numFmtId="165" formatCode="[$-300A]d&quot; de &quot;mmmm&quot; de &quot;yyyy;@"/>
    <numFmt numFmtId="166" formatCode="_-&quot;$&quot;* #,##0.00_-;\-&quot;$&quot;* #,##0.00_-;_-&quot;$&quot;* &quot;-&quot;??_-;_-@_-"/>
    <numFmt numFmtId="167" formatCode="[$-F800]dddd\,\ mmmm\ dd\,\ yyyy"/>
    <numFmt numFmtId="168" formatCode="dd\-mm\-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sz val="10"/>
      <name val="Arial"/>
      <family val="2"/>
    </font>
    <font>
      <sz val="11"/>
      <color theme="1"/>
      <name val="Aptos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Franklin Gothic Book"/>
      <family val="2"/>
    </font>
    <font>
      <sz val="10"/>
      <color theme="1"/>
      <name val="Arial"/>
      <family val="2"/>
    </font>
    <font>
      <sz val="12"/>
      <color theme="0"/>
      <name val="Franklin Gothic Demi Cond"/>
      <family val="2"/>
    </font>
    <font>
      <sz val="12"/>
      <color theme="1"/>
      <name val="Calibri"/>
      <family val="2"/>
      <scheme val="minor"/>
    </font>
    <font>
      <sz val="10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8"/>
      <name val="Arial"/>
      <family val="2"/>
    </font>
    <font>
      <b/>
      <sz val="10"/>
      <color theme="0"/>
      <name val="Arial"/>
      <family val="2"/>
    </font>
    <font>
      <sz val="11"/>
      <color theme="1"/>
      <name val="Aptos Light"/>
      <family val="2"/>
    </font>
    <font>
      <sz val="10"/>
      <color theme="0"/>
      <name val="Arial"/>
      <family val="2"/>
    </font>
    <font>
      <b/>
      <sz val="22"/>
      <color theme="8"/>
      <name val="Arial"/>
      <family val="2"/>
    </font>
    <font>
      <b/>
      <sz val="14"/>
      <color rgb="FF002060"/>
      <name val="Arial"/>
      <family val="2"/>
    </font>
    <font>
      <b/>
      <sz val="11"/>
      <color rgb="FF00206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Century Gothic"/>
      <family val="1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sz val="7"/>
      <color theme="0"/>
      <name val="Arial"/>
      <family val="2"/>
    </font>
    <font>
      <b/>
      <sz val="8"/>
      <color theme="0"/>
      <name val="Arial"/>
      <family val="2"/>
    </font>
    <font>
      <sz val="6"/>
      <color theme="1"/>
      <name val="Arial"/>
      <family val="2"/>
    </font>
    <font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theme="4"/>
        <bgColor theme="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4C6E7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 tint="0.59999389629810485"/>
      </left>
      <right/>
      <top/>
      <bottom/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8" tint="0.59999389629810485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0" tint="-0.14996795556505021"/>
      </bottom>
      <diagonal/>
    </border>
    <border>
      <left/>
      <right style="thin">
        <color indexed="64"/>
      </right>
      <top/>
      <bottom style="medium">
        <color theme="0" tint="-0.149967955565050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theme="0" tint="-0.149967955565050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2" fillId="0" borderId="0"/>
    <xf numFmtId="0" fontId="1" fillId="0" borderId="0"/>
    <xf numFmtId="166" fontId="12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4" fillId="0" borderId="0" xfId="0" applyFont="1"/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  <xf numFmtId="0" fontId="3" fillId="0" borderId="0" xfId="2"/>
    <xf numFmtId="0" fontId="3" fillId="0" borderId="0" xfId="2" applyAlignment="1">
      <alignment horizontal="center"/>
    </xf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6" borderId="0" xfId="2" applyNumberFormat="1" applyFont="1" applyFill="1" applyAlignment="1">
      <alignment horizontal="center"/>
    </xf>
    <xf numFmtId="0" fontId="3" fillId="0" borderId="18" xfId="2" applyBorder="1" applyAlignment="1">
      <alignment horizontal="center" vertical="center"/>
    </xf>
    <xf numFmtId="0" fontId="9" fillId="7" borderId="10" xfId="3" applyFont="1" applyFill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11" fillId="2" borderId="0" xfId="2" applyFont="1" applyFill="1" applyAlignment="1">
      <alignment vertical="center"/>
    </xf>
    <xf numFmtId="0" fontId="3" fillId="6" borderId="0" xfId="2" applyFill="1"/>
    <xf numFmtId="0" fontId="0" fillId="0" borderId="7" xfId="0" applyBorder="1" applyAlignment="1">
      <alignment horizontal="left"/>
    </xf>
    <xf numFmtId="0" fontId="0" fillId="0" borderId="7" xfId="0" applyBorder="1"/>
    <xf numFmtId="9" fontId="0" fillId="0" borderId="7" xfId="1" applyFont="1" applyBorder="1"/>
    <xf numFmtId="9" fontId="0" fillId="0" borderId="7" xfId="0" applyNumberFormat="1" applyBorder="1"/>
    <xf numFmtId="0" fontId="0" fillId="8" borderId="0" xfId="0" applyFill="1"/>
    <xf numFmtId="164" fontId="16" fillId="2" borderId="22" xfId="0" applyNumberFormat="1" applyFont="1" applyFill="1" applyBorder="1" applyAlignment="1">
      <alignment horizontal="center" vertical="center"/>
    </xf>
    <xf numFmtId="15" fontId="16" fillId="2" borderId="22" xfId="0" applyNumberFormat="1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8" fillId="0" borderId="0" xfId="4" applyFont="1"/>
    <xf numFmtId="0" fontId="20" fillId="11" borderId="26" xfId="4" applyFont="1" applyFill="1" applyBorder="1" applyAlignment="1">
      <alignment horizontal="center" vertical="center" wrapText="1"/>
    </xf>
    <xf numFmtId="0" fontId="1" fillId="0" borderId="0" xfId="5"/>
    <xf numFmtId="0" fontId="21" fillId="0" borderId="0" xfId="5" applyFont="1" applyAlignment="1">
      <alignment horizontal="center"/>
    </xf>
    <xf numFmtId="0" fontId="21" fillId="0" borderId="0" xfId="5" applyFont="1" applyAlignment="1">
      <alignment horizontal="center" vertical="center"/>
    </xf>
    <xf numFmtId="15" fontId="21" fillId="0" borderId="0" xfId="5" applyNumberFormat="1" applyFont="1" applyAlignment="1">
      <alignment horizontal="center"/>
    </xf>
    <xf numFmtId="3" fontId="13" fillId="12" borderId="10" xfId="4" applyNumberFormat="1" applyFont="1" applyFill="1" applyBorder="1" applyAlignment="1">
      <alignment horizontal="center"/>
    </xf>
    <xf numFmtId="0" fontId="21" fillId="10" borderId="23" xfId="5" applyFont="1" applyFill="1" applyBorder="1" applyAlignment="1">
      <alignment horizontal="center"/>
    </xf>
    <xf numFmtId="0" fontId="21" fillId="10" borderId="23" xfId="5" applyFont="1" applyFill="1" applyBorder="1" applyAlignment="1">
      <alignment horizontal="left"/>
    </xf>
    <xf numFmtId="0" fontId="10" fillId="0" borderId="0" xfId="0" applyFont="1"/>
    <xf numFmtId="0" fontId="20" fillId="13" borderId="24" xfId="0" applyFont="1" applyFill="1" applyBorder="1" applyAlignment="1">
      <alignment horizontal="center" vertical="center"/>
    </xf>
    <xf numFmtId="0" fontId="20" fillId="13" borderId="0" xfId="0" applyFont="1" applyFill="1" applyAlignment="1">
      <alignment horizontal="center" vertical="center"/>
    </xf>
    <xf numFmtId="0" fontId="22" fillId="14" borderId="7" xfId="2" applyFont="1" applyFill="1" applyBorder="1" applyAlignment="1">
      <alignment horizontal="center" vertical="center"/>
    </xf>
    <xf numFmtId="0" fontId="22" fillId="14" borderId="8" xfId="2" applyFont="1" applyFill="1" applyBorder="1" applyAlignment="1">
      <alignment horizontal="center" vertical="center"/>
    </xf>
    <xf numFmtId="0" fontId="22" fillId="14" borderId="9" xfId="2" applyFont="1" applyFill="1" applyBorder="1" applyAlignment="1">
      <alignment horizontal="center" vertical="center"/>
    </xf>
    <xf numFmtId="0" fontId="22" fillId="15" borderId="9" xfId="2" applyFont="1" applyFill="1" applyBorder="1" applyAlignment="1">
      <alignment horizontal="center" vertical="center"/>
    </xf>
    <xf numFmtId="0" fontId="22" fillId="15" borderId="9" xfId="2" applyFont="1" applyFill="1" applyBorder="1" applyAlignment="1">
      <alignment horizontal="center" vertical="center" textRotation="90" wrapText="1"/>
    </xf>
    <xf numFmtId="0" fontId="18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164" fontId="16" fillId="2" borderId="22" xfId="0" applyNumberFormat="1" applyFont="1" applyFill="1" applyBorder="1" applyAlignment="1">
      <alignment horizontal="left" vertical="center"/>
    </xf>
    <xf numFmtId="0" fontId="27" fillId="2" borderId="22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3" fillId="2" borderId="0" xfId="2" applyFill="1"/>
    <xf numFmtId="164" fontId="26" fillId="13" borderId="22" xfId="0" applyNumberFormat="1" applyFont="1" applyFill="1" applyBorder="1" applyAlignment="1">
      <alignment horizontal="left" vertical="center"/>
    </xf>
    <xf numFmtId="9" fontId="27" fillId="2" borderId="22" xfId="1" applyFont="1" applyFill="1" applyBorder="1" applyAlignment="1">
      <alignment horizontal="center" vertical="center"/>
    </xf>
    <xf numFmtId="9" fontId="16" fillId="2" borderId="22" xfId="1" applyFont="1" applyFill="1" applyBorder="1" applyAlignment="1">
      <alignment horizontal="center" vertical="center"/>
    </xf>
    <xf numFmtId="0" fontId="33" fillId="14" borderId="9" xfId="2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35" fillId="2" borderId="22" xfId="0" applyNumberFormat="1" applyFont="1" applyFill="1" applyBorder="1" applyAlignment="1">
      <alignment horizontal="center" vertical="center"/>
    </xf>
    <xf numFmtId="164" fontId="31" fillId="2" borderId="22" xfId="0" applyNumberFormat="1" applyFont="1" applyFill="1" applyBorder="1" applyAlignment="1">
      <alignment horizontal="left" vertical="center"/>
    </xf>
    <xf numFmtId="0" fontId="34" fillId="13" borderId="24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35" fillId="2" borderId="22" xfId="0" quotePrefix="1" applyFont="1" applyFill="1" applyBorder="1" applyAlignment="1">
      <alignment horizontal="center" vertical="center"/>
    </xf>
    <xf numFmtId="9" fontId="35" fillId="2" borderId="22" xfId="0" applyNumberFormat="1" applyFont="1" applyFill="1" applyBorder="1" applyAlignment="1">
      <alignment horizontal="center" vertical="center"/>
    </xf>
    <xf numFmtId="15" fontId="36" fillId="2" borderId="22" xfId="0" applyNumberFormat="1" applyFont="1" applyFill="1" applyBorder="1" applyAlignment="1">
      <alignment horizontal="center" vertical="center"/>
    </xf>
    <xf numFmtId="168" fontId="30" fillId="19" borderId="0" xfId="0" applyNumberFormat="1" applyFont="1" applyFill="1" applyAlignment="1">
      <alignment vertical="center"/>
    </xf>
    <xf numFmtId="0" fontId="36" fillId="2" borderId="22" xfId="0" applyFont="1" applyFill="1" applyBorder="1" applyAlignment="1">
      <alignment horizontal="center" vertical="center"/>
    </xf>
    <xf numFmtId="0" fontId="32" fillId="20" borderId="34" xfId="0" applyFont="1" applyFill="1" applyBorder="1"/>
    <xf numFmtId="0" fontId="32" fillId="20" borderId="23" xfId="0" applyFont="1" applyFill="1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21" fillId="10" borderId="34" xfId="5" applyFont="1" applyFill="1" applyBorder="1" applyAlignment="1">
      <alignment horizontal="left" vertical="center"/>
    </xf>
    <xf numFmtId="0" fontId="0" fillId="10" borderId="7" xfId="0" applyFill="1" applyBorder="1" applyAlignment="1">
      <alignment horizontal="center" vertical="center"/>
    </xf>
    <xf numFmtId="9" fontId="0" fillId="10" borderId="7" xfId="1" applyFont="1" applyFill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21" xfId="0" applyBorder="1"/>
    <xf numFmtId="0" fontId="22" fillId="14" borderId="14" xfId="2" applyFont="1" applyFill="1" applyBorder="1" applyAlignment="1">
      <alignment horizontal="center" vertical="center"/>
    </xf>
    <xf numFmtId="0" fontId="22" fillId="14" borderId="32" xfId="2" applyFont="1" applyFill="1" applyBorder="1" applyAlignment="1">
      <alignment horizontal="center" vertical="center"/>
    </xf>
    <xf numFmtId="0" fontId="22" fillId="14" borderId="6" xfId="2" applyFont="1" applyFill="1" applyBorder="1" applyAlignment="1">
      <alignment horizontal="center" vertical="center"/>
    </xf>
    <xf numFmtId="0" fontId="22" fillId="14" borderId="33" xfId="2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20" fillId="13" borderId="24" xfId="0" applyFont="1" applyFill="1" applyBorder="1" applyAlignment="1">
      <alignment horizontal="center" vertical="center"/>
    </xf>
    <xf numFmtId="0" fontId="20" fillId="13" borderId="0" xfId="0" applyFont="1" applyFill="1" applyAlignment="1">
      <alignment horizontal="center" vertical="center"/>
    </xf>
    <xf numFmtId="0" fontId="20" fillId="13" borderId="27" xfId="0" applyFont="1" applyFill="1" applyBorder="1" applyAlignment="1">
      <alignment horizontal="center" vertical="center"/>
    </xf>
    <xf numFmtId="0" fontId="20" fillId="13" borderId="28" xfId="0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17" fontId="27" fillId="13" borderId="0" xfId="0" applyNumberFormat="1" applyFont="1" applyFill="1" applyAlignment="1">
      <alignment horizontal="center" vertical="center"/>
    </xf>
    <xf numFmtId="0" fontId="31" fillId="9" borderId="14" xfId="2" applyFont="1" applyFill="1" applyBorder="1" applyAlignment="1">
      <alignment horizontal="center" vertical="center" wrapText="1"/>
    </xf>
    <xf numFmtId="0" fontId="31" fillId="9" borderId="6" xfId="2" applyFont="1" applyFill="1" applyBorder="1" applyAlignment="1">
      <alignment horizontal="center" vertical="center" wrapText="1"/>
    </xf>
    <xf numFmtId="0" fontId="31" fillId="17" borderId="14" xfId="2" applyFont="1" applyFill="1" applyBorder="1" applyAlignment="1">
      <alignment horizontal="center" vertical="center" wrapText="1"/>
    </xf>
    <xf numFmtId="0" fontId="31" fillId="17" borderId="6" xfId="2" applyFont="1" applyFill="1" applyBorder="1" applyAlignment="1">
      <alignment horizontal="center" vertical="center" wrapText="1"/>
    </xf>
    <xf numFmtId="0" fontId="31" fillId="18" borderId="14" xfId="2" applyFont="1" applyFill="1" applyBorder="1" applyAlignment="1">
      <alignment horizontal="center" vertical="center" wrapText="1"/>
    </xf>
    <xf numFmtId="0" fontId="31" fillId="18" borderId="6" xfId="2" applyFont="1" applyFill="1" applyBorder="1" applyAlignment="1">
      <alignment horizontal="center" vertical="center" wrapText="1"/>
    </xf>
    <xf numFmtId="0" fontId="30" fillId="11" borderId="14" xfId="2" applyFont="1" applyFill="1" applyBorder="1" applyAlignment="1">
      <alignment horizontal="center" vertical="center" wrapText="1"/>
    </xf>
    <xf numFmtId="0" fontId="30" fillId="11" borderId="6" xfId="2" applyFont="1" applyFill="1" applyBorder="1" applyAlignment="1">
      <alignment horizontal="center" vertical="center" wrapText="1"/>
    </xf>
    <xf numFmtId="17" fontId="20" fillId="13" borderId="29" xfId="0" applyNumberFormat="1" applyFont="1" applyFill="1" applyBorder="1" applyAlignment="1">
      <alignment horizontal="center" vertical="center"/>
    </xf>
    <xf numFmtId="17" fontId="20" fillId="13" borderId="30" xfId="0" applyNumberFormat="1" applyFont="1" applyFill="1" applyBorder="1" applyAlignment="1">
      <alignment horizontal="center" vertical="center"/>
    </xf>
    <xf numFmtId="17" fontId="27" fillId="13" borderId="0" xfId="0" applyNumberFormat="1" applyFont="1" applyFill="1" applyAlignment="1">
      <alignment horizontal="center" vertical="center" textRotation="90"/>
    </xf>
    <xf numFmtId="17" fontId="27" fillId="13" borderId="30" xfId="0" applyNumberFormat="1" applyFont="1" applyFill="1" applyBorder="1" applyAlignment="1">
      <alignment horizontal="center" vertical="center" textRotation="90"/>
    </xf>
    <xf numFmtId="0" fontId="22" fillId="15" borderId="0" xfId="2" applyFont="1" applyFill="1" applyAlignment="1">
      <alignment horizontal="center" vertical="center"/>
    </xf>
    <xf numFmtId="0" fontId="22" fillId="15" borderId="18" xfId="2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167" fontId="28" fillId="0" borderId="5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0" fillId="13" borderId="31" xfId="0" applyFont="1" applyFill="1" applyBorder="1" applyAlignment="1">
      <alignment horizontal="center" vertical="center"/>
    </xf>
    <xf numFmtId="0" fontId="20" fillId="13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5" fontId="16" fillId="0" borderId="19" xfId="0" applyNumberFormat="1" applyFont="1" applyBorder="1" applyAlignment="1">
      <alignment horizontal="center" vertical="center"/>
    </xf>
    <xf numFmtId="15" fontId="16" fillId="0" borderId="17" xfId="0" applyNumberFormat="1" applyFont="1" applyBorder="1" applyAlignment="1">
      <alignment horizontal="center" vertical="center"/>
    </xf>
    <xf numFmtId="15" fontId="16" fillId="0" borderId="20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20" fillId="16" borderId="19" xfId="0" applyFont="1" applyFill="1" applyBorder="1" applyAlignment="1">
      <alignment horizontal="center" vertical="center" wrapText="1"/>
    </xf>
    <xf numFmtId="0" fontId="20" fillId="16" borderId="17" xfId="0" applyFont="1" applyFill="1" applyBorder="1" applyAlignment="1">
      <alignment horizontal="center" vertical="center" wrapText="1"/>
    </xf>
    <xf numFmtId="0" fontId="20" fillId="16" borderId="20" xfId="0" applyFont="1" applyFill="1" applyBorder="1" applyAlignment="1">
      <alignment horizontal="center" vertical="center" wrapText="1"/>
    </xf>
    <xf numFmtId="0" fontId="26" fillId="15" borderId="0" xfId="2" applyFont="1" applyFill="1" applyAlignment="1">
      <alignment horizontal="center" vertical="center"/>
    </xf>
    <xf numFmtId="0" fontId="26" fillId="15" borderId="18" xfId="2" applyFont="1" applyFill="1" applyBorder="1" applyAlignment="1">
      <alignment horizontal="center" vertical="center"/>
    </xf>
    <xf numFmtId="17" fontId="34" fillId="13" borderId="0" xfId="0" applyNumberFormat="1" applyFont="1" applyFill="1" applyAlignment="1">
      <alignment horizontal="center" vertical="center" textRotation="90" wrapText="1"/>
    </xf>
    <xf numFmtId="17" fontId="34" fillId="13" borderId="35" xfId="0" applyNumberFormat="1" applyFont="1" applyFill="1" applyBorder="1" applyAlignment="1">
      <alignment horizontal="center" vertical="center" textRotation="90" wrapText="1"/>
    </xf>
    <xf numFmtId="0" fontId="26" fillId="15" borderId="0" xfId="2" applyFont="1" applyFill="1" applyAlignment="1">
      <alignment horizontal="center" vertical="center" textRotation="90" wrapText="1"/>
    </xf>
    <xf numFmtId="0" fontId="26" fillId="15" borderId="35" xfId="2" applyFont="1" applyFill="1" applyBorder="1" applyAlignment="1">
      <alignment horizontal="center" vertical="center" textRotation="90" wrapText="1"/>
    </xf>
    <xf numFmtId="17" fontId="34" fillId="13" borderId="0" xfId="0" applyNumberFormat="1" applyFont="1" applyFill="1" applyAlignment="1">
      <alignment horizontal="center" vertical="center"/>
    </xf>
    <xf numFmtId="0" fontId="26" fillId="15" borderId="35" xfId="2" applyFont="1" applyFill="1" applyBorder="1" applyAlignment="1">
      <alignment horizontal="center" vertical="center"/>
    </xf>
    <xf numFmtId="17" fontId="34" fillId="13" borderId="0" xfId="0" applyNumberFormat="1" applyFont="1" applyFill="1" applyAlignment="1">
      <alignment horizontal="center" vertical="center" textRotation="90"/>
    </xf>
    <xf numFmtId="17" fontId="34" fillId="13" borderId="35" xfId="0" applyNumberFormat="1" applyFont="1" applyFill="1" applyBorder="1" applyAlignment="1">
      <alignment horizontal="center" vertical="center" textRotation="90"/>
    </xf>
    <xf numFmtId="17" fontId="34" fillId="13" borderId="0" xfId="0" applyNumberFormat="1" applyFont="1" applyFill="1" applyAlignment="1">
      <alignment horizontal="center" vertical="center" wrapText="1"/>
    </xf>
    <xf numFmtId="17" fontId="34" fillId="13" borderId="35" xfId="0" applyNumberFormat="1" applyFont="1" applyFill="1" applyBorder="1" applyAlignment="1">
      <alignment horizontal="center" vertical="center" wrapText="1"/>
    </xf>
    <xf numFmtId="0" fontId="33" fillId="14" borderId="0" xfId="2" applyFont="1" applyFill="1" applyAlignment="1">
      <alignment horizontal="center" vertical="center" textRotation="90"/>
    </xf>
    <xf numFmtId="0" fontId="33" fillId="14" borderId="35" xfId="2" applyFont="1" applyFill="1" applyBorder="1" applyAlignment="1">
      <alignment horizontal="center" vertical="center" textRotation="90"/>
    </xf>
    <xf numFmtId="0" fontId="33" fillId="14" borderId="0" xfId="2" applyFont="1" applyFill="1" applyAlignment="1">
      <alignment horizontal="center" vertical="center" textRotation="90" wrapText="1"/>
    </xf>
    <xf numFmtId="0" fontId="33" fillId="14" borderId="35" xfId="2" applyFont="1" applyFill="1" applyBorder="1" applyAlignment="1">
      <alignment horizontal="center" vertical="center" textRotation="90" wrapText="1"/>
    </xf>
    <xf numFmtId="0" fontId="30" fillId="15" borderId="0" xfId="2" applyFont="1" applyFill="1" applyAlignment="1">
      <alignment horizontal="center" vertical="center" textRotation="90" wrapText="1"/>
    </xf>
    <xf numFmtId="0" fontId="30" fillId="15" borderId="35" xfId="2" applyFont="1" applyFill="1" applyBorder="1" applyAlignment="1">
      <alignment horizontal="center" vertical="center" textRotation="90" wrapText="1"/>
    </xf>
    <xf numFmtId="0" fontId="17" fillId="3" borderId="24" xfId="4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/>
    </xf>
    <xf numFmtId="0" fontId="19" fillId="0" borderId="25" xfId="4" applyFont="1" applyBorder="1" applyAlignment="1">
      <alignment horizontal="left" vertical="center"/>
    </xf>
    <xf numFmtId="0" fontId="0" fillId="8" borderId="0" xfId="0" applyFill="1" applyAlignment="1">
      <alignment horizontal="center"/>
    </xf>
    <xf numFmtId="0" fontId="0" fillId="0" borderId="0" xfId="0" applyNumberFormat="1"/>
  </cellXfs>
  <cellStyles count="7">
    <cellStyle name="Currency 2" xfId="6" xr:uid="{ABFF8AEC-069F-400F-ACCE-5E7000A12C74}"/>
    <cellStyle name="Normal" xfId="0" builtinId="0"/>
    <cellStyle name="Normal 2" xfId="2" xr:uid="{CF13A581-1246-4AC9-9873-D4FE38667D6E}"/>
    <cellStyle name="Normal 2 2" xfId="5" xr:uid="{68ADBE93-4CBB-4BAF-9A04-9ED185381104}"/>
    <cellStyle name="Normal 3" xfId="3" xr:uid="{C20FB346-08BB-4CAA-855C-D39C6E555833}"/>
    <cellStyle name="Normal 4" xfId="4" xr:uid="{7815002E-2E8D-446E-B29C-DD35D56E8145}"/>
    <cellStyle name="Porcentaje" xfId="1" builtinId="5"/>
  </cellStyles>
  <dxfs count="112">
    <dxf>
      <border diagonalUp="0" diagonalDown="0">
        <left/>
        <right/>
        <top/>
        <bottom/>
        <vertical/>
        <horizontal/>
      </border>
    </dxf>
    <dxf>
      <font>
        <b/>
        <i val="0"/>
        <sz val="12"/>
        <name val="Arial"/>
        <family val="2"/>
        <scheme val="none"/>
      </font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499984740745262"/>
        </patternFill>
      </fill>
    </dxf>
    <dxf>
      <fill>
        <patternFill>
          <bgColor theme="0" tint="-4.9989318521683403E-2"/>
        </patternFill>
      </fill>
    </dxf>
    <dxf>
      <font>
        <color theme="3" tint="-0.499984740745262"/>
      </font>
      <fill>
        <patternFill>
          <bgColor theme="8" tint="0.79998168889431442"/>
        </patternFill>
      </fill>
    </dxf>
    <dxf>
      <font>
        <color rgb="FFFF0066"/>
      </font>
      <fill>
        <patternFill>
          <bgColor rgb="FFFFF3F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rgb="FFF4F6F7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3" tint="-0.499984740745262"/>
      </font>
      <fill>
        <patternFill>
          <bgColor theme="8" tint="0.79998168889431442"/>
        </patternFill>
      </fill>
    </dxf>
    <dxf>
      <font>
        <color rgb="FFFF0066"/>
      </font>
      <fill>
        <patternFill>
          <bgColor rgb="FFFFF3F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scheme val="none"/>
      </font>
      <numFmt numFmtId="3" formatCode="#,##0"/>
      <fill>
        <patternFill patternType="solid">
          <fgColor indexed="64"/>
          <bgColor rgb="FFFEF9F4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ptos Light"/>
        <family val="2"/>
        <scheme val="none"/>
      </font>
      <numFmt numFmtId="20" formatCode="d\-mmm\-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Light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Light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Light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Light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Light"/>
        <family val="2"/>
        <scheme val="none"/>
      </font>
    </dxf>
    <dxf>
      <border outline="0"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Ligh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Ligh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2" defaultTableStyle="TableStyleMedium2" defaultPivotStyle="PivotStyleLight16">
    <tableStyle name="Estilo de segmentación de datos 1" pivot="0" table="0" count="1" xr9:uid="{CFDE103A-2A05-495A-8216-CA7F9E478388}">
      <tableStyleElement type="wholeTable" dxfId="2"/>
    </tableStyle>
    <tableStyle name="Estilo de segmentación de datos 2" pivot="0" table="0" count="6" xr9:uid="{DB94873A-47B5-4CEC-9A71-CF1252C19377}">
      <tableStyleElement type="wholeTable" dxfId="0"/>
      <tableStyleElement type="headerRow" dxfId="1"/>
    </tableStyle>
  </tableStyles>
  <colors>
    <mruColors>
      <color rgb="FF2980B9"/>
      <color rgb="FFCD6155"/>
      <color rgb="FFD98880"/>
      <color rgb="FF5499C7"/>
      <color rgb="FFFDFEFE"/>
      <color rgb="FFF4F6F7"/>
      <color rgb="FFA9DFBF"/>
      <color rgb="FFABEBC6"/>
      <color rgb="FFA2D9CE"/>
      <color rgb="FFF9E79F"/>
    </mruColors>
  </colors>
  <extLst>
    <ext xmlns:x14="http://schemas.microsoft.com/office/spreadsheetml/2009/9/main" uri="{46F421CA-312F-682f-3DD2-61675219B42D}">
      <x14:dxfs count="4">
        <dxf>
          <font>
            <color theme="3"/>
            <name val="Arial"/>
            <family val="2"/>
          </font>
          <fill>
            <patternFill>
              <bgColor theme="3" tint="0.79998168889431442"/>
            </patternFill>
          </fill>
        </dxf>
        <dxf>
          <font>
            <color theme="0"/>
            <name val="Arial"/>
            <family val="2"/>
            <scheme val="none"/>
          </font>
          <fill>
            <patternFill>
              <bgColor rgb="FF002060"/>
            </patternFill>
          </fill>
        </dxf>
        <dxf>
          <font>
            <color theme="3"/>
            <name val="Arial"/>
            <family val="2"/>
          </font>
          <fill>
            <patternFill>
              <bgColor theme="3" tint="0.79998168889431442"/>
            </patternFill>
          </fill>
        </dxf>
        <dxf>
          <font>
            <sz val="11"/>
            <color theme="0"/>
            <name val="Arial"/>
            <family val="2"/>
            <scheme val="none"/>
          </font>
          <fill>
            <patternFill>
              <bgColor rgb="FF002060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>
          <x14:slicerStyleElements>
            <x14:slicerStyleElement type="unselectedItemWithData" dxfId="2"/>
            <x14:slicerStyleElement type="selectedItemWithData" dxfId="3"/>
            <x14:slicerStyleElement type="hoveredUnselectedItemWithData" dxfId="0"/>
            <x14:slicerStyleElement type="hoveredSelectedItemWithData" dxfId="1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07/relationships/slicerCache" Target="slicerCaches/slicerCache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microsoft.com/office/2007/relationships/slicerCache" Target="slicerCaches/slicerCache4.xml"/><Relationship Id="rId10" Type="http://schemas.openxmlformats.org/officeDocument/2006/relationships/pivotCacheDefinition" Target="pivotCache/pivotCacheDefinition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07/relationships/slicerCache" Target="slicerCaches/slicerCache3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6.pn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E8-422A-B32A-7F201458699E}"/>
              </c:ext>
            </c:extLst>
          </c:dPt>
          <c:val>
            <c:numRef>
              <c:f>DASHBOARD!#REF!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FC-4C77-9ACF-A4E9EE298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24-4847-8F5D-A80AD42CF9F5}"/>
              </c:ext>
            </c:extLst>
          </c:dPt>
          <c:val>
            <c:numRef>
              <c:f>GRAFICOS!#REF!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24-4847-8F5D-A80AD42CF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95-4C99-8FEC-7614D42ADFFE}"/>
              </c:ext>
            </c:extLst>
          </c:dPt>
          <c:val>
            <c:numRef>
              <c:f>GRAFICOS!#REF!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95-4C99-8FEC-7614D42A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BA-4206-8260-36ED9DB5A735}"/>
              </c:ext>
            </c:extLst>
          </c:dPt>
          <c:val>
            <c:numRef>
              <c:f>GRAFICOS!#REF!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BA-4206-8260-36ED9DB5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GRAFICOS!#REF!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7-4F13-A85D-99618E5780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1919360"/>
        <c:axId val="1662091264"/>
        <c:axId val="0"/>
      </c:bar3DChart>
      <c:catAx>
        <c:axId val="1771919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62091264"/>
        <c:crosses val="autoZero"/>
        <c:auto val="1"/>
        <c:lblAlgn val="ctr"/>
        <c:lblOffset val="100"/>
        <c:noMultiLvlLbl val="0"/>
      </c:catAx>
      <c:valAx>
        <c:axId val="1662091264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177191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GRAFICOS!#REF!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47-4409-8508-D4F1FCCD96D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GRAFICOS!#REF!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47-4409-8508-D4F1FCCD9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6680720"/>
        <c:axId val="1779457936"/>
      </c:barChart>
      <c:catAx>
        <c:axId val="88668072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79457936"/>
        <c:crosses val="autoZero"/>
        <c:auto val="1"/>
        <c:lblAlgn val="ctr"/>
        <c:lblOffset val="100"/>
        <c:noMultiLvlLbl val="0"/>
      </c:catAx>
      <c:valAx>
        <c:axId val="1779457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8668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2-441A-93B8-48DA5F8286A0}"/>
              </c:ext>
            </c:extLst>
          </c:dPt>
          <c:val>
            <c:numRef>
              <c:f>GRAFICOS!#REF!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6B92-441A-93B8-48DA5F828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2-46C2-92CB-9024FCFEB19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2-46C2-92CB-9024FCFEB19F}"/>
              </c:ext>
            </c:extLst>
          </c:dPt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 DINAMICA'!$V$3:$V$4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'TAB DINAMICA'!$X$3:$X$4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F2-46C2-92CB-9024FCFEB19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DINAMICA'!$AC$3:$AC$22</c:f>
              <c:strCache>
                <c:ptCount val="20"/>
                <c:pt idx="0">
                  <c:v>CARDIOVASCULARES</c:v>
                </c:pt>
                <c:pt idx="1">
                  <c:v>CONTROL / PROFILAXIS</c:v>
                </c:pt>
                <c:pt idx="2">
                  <c:v>CURACIONES</c:v>
                </c:pt>
                <c:pt idx="3">
                  <c:v>DERMATOLOGICAS</c:v>
                </c:pt>
                <c:pt idx="4">
                  <c:v>ETS</c:v>
                </c:pt>
                <c:pt idx="5">
                  <c:v>GASTROINTESTINALES</c:v>
                </c:pt>
                <c:pt idx="6">
                  <c:v>GENITOURINARIAS</c:v>
                </c:pt>
                <c:pt idx="7">
                  <c:v>HERIDAS / SUTURAS</c:v>
                </c:pt>
                <c:pt idx="8">
                  <c:v>INTOXICACIONES / ENVENENAMIENTO</c:v>
                </c:pt>
                <c:pt idx="9">
                  <c:v>MORDEDURAS / PICADURAS</c:v>
                </c:pt>
                <c:pt idx="10">
                  <c:v>MUSCULOESQUELETICAS</c:v>
                </c:pt>
                <c:pt idx="11">
                  <c:v>NEUROLOGICAS</c:v>
                </c:pt>
                <c:pt idx="12">
                  <c:v>ODONTOLOGICAS</c:v>
                </c:pt>
                <c:pt idx="13">
                  <c:v>OFTALMOLOGICAS</c:v>
                </c:pt>
                <c:pt idx="14">
                  <c:v>QUEMADURAS</c:v>
                </c:pt>
                <c:pt idx="15">
                  <c:v>RESPIRATORIAS / ORL</c:v>
                </c:pt>
                <c:pt idx="16">
                  <c:v>TRAUMATISMOS</c:v>
                </c:pt>
                <c:pt idx="17">
                  <c:v>TROPICALES</c:v>
                </c:pt>
                <c:pt idx="18">
                  <c:v>SANO</c:v>
                </c:pt>
                <c:pt idx="19">
                  <c:v>OTRAS</c:v>
                </c:pt>
              </c:strCache>
            </c:strRef>
          </c:cat>
          <c:val>
            <c:numRef>
              <c:f>'TAB DINAMICA'!$AE$3:$AE$22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AD1-42F9-9B31-588A1EA07BE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9887488"/>
        <c:axId val="529887968"/>
      </c:lineChart>
      <c:catAx>
        <c:axId val="52988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887968"/>
        <c:crosses val="autoZero"/>
        <c:auto val="1"/>
        <c:lblAlgn val="ctr"/>
        <c:lblOffset val="100"/>
        <c:noMultiLvlLbl val="0"/>
      </c:catAx>
      <c:valAx>
        <c:axId val="52988796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529887488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7D-4896-A408-166272F54C2E}"/>
              </c:ext>
            </c:extLst>
          </c:dPt>
          <c:val>
            <c:numRef>
              <c:f>DASHBOARD!#REF!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D-4896-A408-166272F5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94-49F5-A8B7-016242187FDA}"/>
              </c:ext>
            </c:extLst>
          </c:dPt>
          <c:val>
            <c:numRef>
              <c:f>DASHBOARD!#REF!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94-49F5-A8B7-01624218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DA-4E23-BFFB-3E809F119673}"/>
              </c:ext>
            </c:extLst>
          </c:dPt>
          <c:val>
            <c:numRef>
              <c:f>DASHBOARD!#REF!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A-4E23-BFFB-3E809F119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DINAMICA'!$AS$5:$AS$44</c:f>
              <c:strCache>
                <c:ptCount val="35"/>
                <c:pt idx="0">
                  <c:v>DICLOFENACO SÓDICO</c:v>
                </c:pt>
                <c:pt idx="1">
                  <c:v>DICLOFENACO SÓDICO</c:v>
                </c:pt>
                <c:pt idx="2">
                  <c:v>IBUPROFENO</c:v>
                </c:pt>
                <c:pt idx="3">
                  <c:v>FEMEN </c:v>
                </c:pt>
                <c:pt idx="4">
                  <c:v>ISLA MINT</c:v>
                </c:pt>
                <c:pt idx="5">
                  <c:v>KETOROLACO</c:v>
                </c:pt>
                <c:pt idx="6">
                  <c:v>NAPROXENO SODICO</c:v>
                </c:pt>
                <c:pt idx="7">
                  <c:v>PARACETAMOL</c:v>
                </c:pt>
                <c:pt idx="8">
                  <c:v>PARACETAMOL </c:v>
                </c:pt>
                <c:pt idx="9">
                  <c:v>TRAMADOL CLORHIDRATO</c:v>
                </c:pt>
                <c:pt idx="10">
                  <c:v>AMOXICILINA</c:v>
                </c:pt>
                <c:pt idx="11">
                  <c:v>BACTRIM FORTE</c:v>
                </c:pt>
                <c:pt idx="12">
                  <c:v>CETIRIZINA</c:v>
                </c:pt>
                <c:pt idx="13">
                  <c:v>LORATADINA</c:v>
                </c:pt>
                <c:pt idx="14">
                  <c:v>DIGESTOTAL FORTE</c:v>
                </c:pt>
                <c:pt idx="15">
                  <c:v>METOCLOPRAMIDA</c:v>
                </c:pt>
                <c:pt idx="16">
                  <c:v>OMEPRAZOL</c:v>
                </c:pt>
                <c:pt idx="17">
                  <c:v>SALES DE REHIDRATACION </c:v>
                </c:pt>
                <c:pt idx="18">
                  <c:v>SERTAL COMPUESTO</c:v>
                </c:pt>
                <c:pt idx="19">
                  <c:v>TRIDERM </c:v>
                </c:pt>
                <c:pt idx="20">
                  <c:v>ENTEROGERMINA</c:v>
                </c:pt>
                <c:pt idx="21">
                  <c:v>FLORATIL</c:v>
                </c:pt>
                <c:pt idx="22">
                  <c:v>FUROSEMIDA</c:v>
                </c:pt>
                <c:pt idx="23">
                  <c:v>LIDOCAINA</c:v>
                </c:pt>
                <c:pt idx="24">
                  <c:v>NASTIZOL</c:v>
                </c:pt>
                <c:pt idx="25">
                  <c:v>NEOGRIPAL</c:v>
                </c:pt>
                <c:pt idx="26">
                  <c:v>TRIOVAL</c:v>
                </c:pt>
                <c:pt idx="27">
                  <c:v>TENSIFLEX</c:v>
                </c:pt>
                <c:pt idx="28">
                  <c:v>BUPREX MIGRA</c:v>
                </c:pt>
                <c:pt idx="29">
                  <c:v>MIGRADORIXINA</c:v>
                </c:pt>
                <c:pt idx="30">
                  <c:v>OTOZAMBON</c:v>
                </c:pt>
                <c:pt idx="31">
                  <c:v>LAGRIMAS ARTIFICIALES</c:v>
                </c:pt>
                <c:pt idx="32">
                  <c:v>ANAUTIN</c:v>
                </c:pt>
                <c:pt idx="33">
                  <c:v>MOLAREX</c:v>
                </c:pt>
                <c:pt idx="34">
                  <c:v>TOPI BUCAL</c:v>
                </c:pt>
              </c:strCache>
            </c:strRef>
          </c:cat>
          <c:val>
            <c:numRef>
              <c:f>'TAB DINAMICA'!$AU$5:$AU$44</c:f>
              <c:numCache>
                <c:formatCode>0%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7-4483-A6E9-811E9788E6B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9887488"/>
        <c:axId val="529887968"/>
      </c:lineChart>
      <c:catAx>
        <c:axId val="52988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887968"/>
        <c:crosses val="autoZero"/>
        <c:auto val="1"/>
        <c:lblAlgn val="ctr"/>
        <c:lblOffset val="100"/>
        <c:noMultiLvlLbl val="0"/>
      </c:catAx>
      <c:valAx>
        <c:axId val="5298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52988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ED9D-4C36-8A8F-AFBAB13E5C9D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ED9D-4C36-8A8F-AFBAB13E5C9D}"/>
              </c:ext>
            </c:extLst>
          </c:dPt>
          <c:val>
            <c:numRef>
              <c:f>'TAB DINAMICA'!$H$3:$H$4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9D-4C36-8A8F-AFBAB13E5C9D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D9D-4C36-8A8F-AFBAB13E5C9D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D9D-4C36-8A8F-AFBAB13E5C9D}"/>
              </c:ext>
            </c:extLst>
          </c:dPt>
          <c:val>
            <c:numRef>
              <c:f>'TAB DINAMICA'!$I$3:$I$4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9D-4C36-8A8F-AFBAB13E5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38513055"/>
        <c:axId val="1578362959"/>
      </c:barChart>
      <c:catAx>
        <c:axId val="1838513055"/>
        <c:scaling>
          <c:orientation val="minMax"/>
        </c:scaling>
        <c:delete val="1"/>
        <c:axPos val="b"/>
        <c:majorTickMark val="none"/>
        <c:minorTickMark val="none"/>
        <c:tickLblPos val="nextTo"/>
        <c:crossAx val="1578362959"/>
        <c:crosses val="autoZero"/>
        <c:auto val="1"/>
        <c:lblAlgn val="ctr"/>
        <c:lblOffset val="100"/>
        <c:noMultiLvlLbl val="0"/>
      </c:catAx>
      <c:valAx>
        <c:axId val="1578362959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83851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64-40F1-8509-461642298EB0}"/>
              </c:ext>
            </c:extLst>
          </c:dPt>
          <c:val>
            <c:numRef>
              <c:f>GRAFICOS!#REF!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64-40F1-8509-461642298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plotSurface>
          <cx:spPr>
            <a:noFill/>
            <a:ln>
              <a:noFill/>
            </a:ln>
          </cx:spPr>
        </cx:plotSurface>
        <cx:series layoutId="regionMap" uniqueId="{AD3E715F-705B-4295-B2A6-2C600CB9B495}">
          <cx:dataLabels>
            <cx:visibility seriesName="0" categoryName="0" value="1"/>
          </cx:dataLabels>
          <cx:dataId val="0"/>
          <cx:layoutPr>
            <cx:geography cultureLanguage="es-ES" cultureRegion="EC" attribution="Con tecnología de Bing">
              <cx:geoCache provider="{E9337A44-BEBE-4D9F-B70C-5C5E7DAFC167}">
                <cx:binary>1Htpb904tu1fCfL5KSWKoxpdF2hqOpOPZzv2F8GxHYmSSGqefv3bTqqqHSedoPtdPNxrFOCqI+uQ
3MPaa6/N+vvj/LfH6vmhfTfrynR/e5x/f5/3ff23337rHvNn/dB90OqxtZ393H94tPo3+/mzenz+
7al9mJTJfvNcRH57zB/a/nl+/19/h2/Lnu3BPj70yprz4bldLp67oeq7nzz74aN3D09amVB1fase
e/T7+5PTi9PjP95d/uN4tf1Hcvr+3bPpVb9cLfXz7++/+eP37357+5XfLf+ugh32wxO863gfmIc9
n/nC/fqD3r+rrMn+fM7FB9clAhFE/3r+dfHjg4YvOLGtNQ/vLh9gQw+Z/dnOvuzr4empfe46OOGX
3z/4gm+O84Pnj3Yw/YtpM7Dy7++jx+Hhybbv36nOBl8fBfblaFHwxRa/feuW//r7mw/AOm8+eeW5
t6b81aPvHHe2DTbbY7D5x88M82+6zP3gUkGEj//wGPz63mnYEwRz4fpffvify3912pl6zJWByP3z
4x8F0o/d9erVN4569eR/lYu2J/If8vriv9FD7gfMKWbeH8YHD4jvkgpTyoSH2Q/9s9WfHj4N7X/g
nn+++cY7/3zwv8o50eEdQN/PwvTfTB78gWKEXB/jNy7xPwiMsecy9NUl9M9Fv6ZMVL07bf8DePvz
vTfu+PPj/9HO+Febe118vvmbf7f4oA8Y+5wxTr5zBmYMcsPzflh0/sL8f72TH6PXXy9+s+3/6UXk
cLr7b0Qnh0D98AR1+R/Gdb+3vnApJoBgX1OBfZsKB1v8B8j09a03afD1w/+/zvjX1f4vohQ+9A/R
F4b1quD//OmfTOHNqz8jal+Dd/v0+3sffEF891X6vHzNH+9+xZ9keFgeuj8d8c1Lzw9dD0yO+x9c
YHE+Qh4lQngCvX83PX95JNwPlGHsIlcw4lH+8sjYts/hNRdwjzHi+5Rg5EO6eRAOnR2+PMQfXHiB
wafUp67vcf4Xzz2z1ZJZ85dV/vjvd2bQZ1aZvvv9Pfz1u/rrn71smGFCsAulkQN9Ib5gvgfPHx8u
gEvDX6P/g4dReUumedjm3S3uHCa7bknKBt91qtiJ2l5m1DvpsuJyqfIgTWm4ekVkSLar9XohVn2B
12GTVkhy1wto60s80jJsxvwqm7uAK7vDZNrWmdtJmqEhWIrypE+9veK5TJviJPPunSI3QZHrRPWp
I/lUBA6pYrvuWWs/1p4XstnuMjMcuqLblJYUclnpofKz4+IsN3nmtVIvJnFcdIYznbBiCS3PDn0r
ZNn656TlgT9PYdr2MlP+GfKXbdfyZBzaQ5q5G621LBS+qYsnS5pwcpywaNrQbddkXNrtRNkS1HbY
eKl7opEB4wy5RGUbcqPlqwD6gTswBNhP3QEl8bU7/KoWDptbHs4jDZuB7urOMjlQN2lUHXN/kl3u
b1TFCsmweRzaPlYquyhVFTo+uVz5knTFdKpRuSXFmIhiOSvSnAYV8aTnuIlIu6DXo+xdZ7tYd0cH
HM++E/UCFRI5otn8/EBQx390IuExCDOfU+IB73p9IpIbOykH8bBrbNJ4/sbk+mnpvP06GBbSepRe
5jwVnrvnhkrk50mfklDlRKaLiSrvPiN9oJSRvFEBHU1AZh1N44XTZ/vU5rEar/rh1uI0npgbqtHb
9ZmWrH8s/D3zw2IaAuq7oc0P6Xwos0g3Y1xzHrXNXpATxouAjfftomPsNnsH4tcjKsCqjJgJp/om
nTfWy8Ks7rZjXSZUlfE4+LE78c/FvPNW7zrLGjnZSjrMmXcqpTbhS1lHrtDPy4QeS5QvchbD1Ujz
x8w2x2HxQ2vv8jbbDs4iW1aErYH4b0pZiOG07BqJanJopypeBke23LeyQu2JKbwd6dJkndPDahfJ
8yEpiI3cad5l4D3dzqHopkOjSivLgj0RH1LMr/t4nm6HOY2mYtZBnZuNyewJm2crc9FIrdIz1Xvn
jVs9O369mQsn+UUMvLj4O4x5FQL+tyEglCKOHUoerouwW+Y5JsLu1Aee3/XB6PhNMjn5pa+WVqLe
ezbK3DPRstA4xRzMBl911qBg6rJ66zn8grZ62Sz+NPwi+bwfhqrv+Vi8wC713uyTICHmcjU8JHP6
0XBqJQDO0zIM28yfI79qY46HCM8i6Xod6y7fLPMalXYMtFAnfKXS7ZzEXdZNP9eX3djezHQ8/NyY
UOjf2tInPgFi7CKPYwaV4XU68bTtFHJqHvZWXHiiviDKWjmJXAcNnekvTfLyfW9850MpIhQJTLH/
UolerzfbvCAjYjwUVSoNWwGQyq2b00vGxR4tPIRjb0qVPvZVvgHkvWHZuV+NdxnDSlIHHSGtQpLh
OJ3HTS2yJ+zRTNqOBMbys2noz0cqLmo1ZnJxs5CQZSN8n0kMAF2XzafOkLDs7MmcpmE2VKcO4XJU
JOpqdfCzOjIOkY3SgaH9o8rroMqGJG91KPgSOGY9Vcsox6aV2FkyiQgNHO1c5RPbtBP8bqdZOj2R
WVbItrvo7XI9jR/7wemkTtknUzbB1DbblalNNkJEzh6ag3WGXh5qCVhCNjbf51216WZyg1UBwFOe
mOosH8fEW7toFfzM1P2p7o8zem6zdFeKYgvxt+nGaTt0SFoCcIOWMuas3q5FxWTpkW0zHEdvvqy0
ue26IlGrnxTLEvHcEtmvw56zInK78kk0ZR6MUMiCyl8TSOGjVnzTlGlYAg4hMQUVJXFq/KBrn1Ov
CiuqpDdXcrSjTP2zYgT4HYqAu450uhu68MBzq7g3cdnc5A3/lK5LjKsyZLmViy7BKpsaOfcEFRs7
F1d5s0YpJHY/1TKf/EPbfkyHT5xkdy1UHzc7sc5JxWyU9mO4lixIhypig4lmhWJWlpeDL0URD/nn
SrO9zsASFU+m/NEViRFQKgw/KD+VtSKBY2/XonxUVbtd+MY6zR7ANS0GmXbuxjPq3EFK1nyMWn/b
g6+H7nlJ62AiVvoCYJZfIzRv1tHfdBhqIWLBmH3UQy2xgQpRX2f97VRyuZR2x9g15JiS/sDvBr5s
51rLvlpzabz6Y+8O+waCzO+rsNSLTJ2PP8/wLyn1s5SDtvd1yi2TuxY0n6FiFl0d+I6DpWkEghOl
tRSrQ6OlHbdmhprjLQTyJs9TuXj8rB+6k8xHD0vT57IT7JM/8nvXQrmv0/RiWnt0okf3Iq3EPVKO
AwyimCEKBmj2/1Iwz77u9DWn/BFEcd/FHuPM4677BkZROeZuzwGitMVR6vYoLlB/UVaZEwzDSL9q
hF8lwh+shl4o0VtzcZ8jX3AEVJa8IRgVx3OF+0KERQEgMjGaReuq+EkldCeF1XmoO+EGuvHWCJAA
JMvKZyyY+JoH2B3maGJ1f/PvmoAAa+fEFT7lhLyIga9duM71VKQ+mMDwNpc4t0IWU5uIOjvWlotf
oDT+3uKwHBHQJ4BkTBjyvl1uKZWlq4Y8dDU+VKM1sbYdTpTFt93oWemNJA3ShvnSH9GmwehMGE6C
TudHUaciII67XzWK00YfndQ9znMTTXlxqRovk/lLWTH1KjZDNUBSTKaReZ/e55WNu3xMelvkEaVp
rIrsk2urKuZe10W0a+dtn6IqqNpOR/3gN7/y/MuxvvX8t8d+Q5ZtNjWU91CvvbZPWKpOB+I3crWa
BsAsQpN7XWh9DGUcdefQAT2zvroUlfnFPr5voYjrYQh0jBkigryJ92nxTFoSJcKhh0IDZcIJc+4F
eecUEXN9iLeM3v88vr5n1dRlkGGEMZAEMHvpHl8HWMk1M4UDRy+x0wSugApQu/ZxdXjCuYX6MQbg
7gvG8yUYlppGP1/fe8Ggb0z/Zv03ETdXQoxjCQHezPSUDe191Q2tdLj65BsrAqxRDsjVXAAUiNAV
yyBVJw7T2Bw1maATpHkpc4LGoFL0oVWcJ4uqsMTE3TQVEGpbzQT+YNIy7dU9XdOPmVOf/+IQ3znu
yyFAdwS+B3mDXp6/6n2XqnHzuR14OAm074v5BE+FB+zCG6LKp1crJV1QufosLXgTqDrPkmXxi7Cq
gHriPIfiOrMi9nsm4lH7n2bOTvxhXsJZdExWne9B1SmZdOaW7Eu30XIuiguWp0VsdJ2FXBPnF375
oVsIEDYICkTpW7bmDMPsNhi6+cry/TpCoVNO+4Sb+eoXpvsOcSgCsdyFf4TPkPu2q2MOnvCIOMgG
vAZW4LnltrE2r+RctjqCLaCTvs3TTK6ug4todVh60hbFU4kztBFjujXTcpgacuJr/Bn6abY1flZe
4jnN6nBtXHXhMedj7k5nvEMgITTYDRhvswCPab1JhTv9okn53nKIQcViBLpUTjz0JqEUo4wUJSRU
kek7XJGrivSJV+pfxBzib8oVaEEg5HHmvjTEVLhvg84O3AqIMz9EK4mNdaMeZAxoEevOjQqOQ6YX
JXsWFeS6nLWsUerLKnsYuuu1CeciyUyyrpccb8rlXABJEydOdbWM57TZCYqk0zhBj4EdPAO5HeSg
jmP1Wbl1hIkO7BqPAPs0FtN9P86x7z0JE4H3on5ugTaPkSJd2C1jUhh2rlsMv/1orrdZ81A2153C
EuH7UrtAmP3IjNMRckim0JybMhTFed88Z2k4suvKHgQ9yWFamkFJbu+H9N7LNh4k/nJJOzjvxtYK
qsiZz4aoBMI2RyJv4mVZZLM8aSz7KVR1ktcbBFoLtW005J20NjasCmdbyAzPkrQsMEucdZtxOfF0
G6VT3OtKCl3E1K5yGcm2g2Cpn7I2blnsTSQqyi0DCzgiXEoE/X0vPRCGqAl9soa9uBjHRoqpkikx
oV2rKG9ApSJPqEpGLwGiHaChBm6MIwabqKYiEv3jxG4aTZMudzYWX3ATNUUV+eTW2CGal6OvuyB3
xqgmF1lpgrXvpDFP/dScZjikU5PUuNtoMQSChZ4X+SLoXH/fMZDDPjERAGmtphN3KPa62nrenaBX
hXtF6yed+3EDPScGDt4ZE/nlzUyOP8/zNwj5JVgBJCFWAR5Bc3wD8341LHhULQgWXluFRi15UE0T
qHti405rWDtFJf/dFT3iUpimugILgV6E8NeYnE2505W6FSGu2Cpn1l22DDSrutT7ZZwbWXj27v9t
xRdkeFUF8tm2qqm5gABWwKMblgXj1LbSS71J9q12QTwj7i+OCXLytxX0Kw5AWw09NYdO3n2zbOUo
1BFt/JAjs/V5OciRPCikohHz08lcggKLCiux2Ob5cVX7kn1sVqmq48Jp4ClPGhyN03PV3DXlbc4T
Sy6Fr4PS3UFlkq2opB6XMF+YzLzThjfR2J8IeomIDcpy3Cnvsij7sC8+zp0ny04kVdMEY2EiClnZ
K8maJRznBfoIyJdu69VWWvrZWe+dm9SbA4SqqJ3LgOMgt06smusWlTvMq0DXw/m0FlKNc6ShpRef
1myW9IamICLUASRuOStpuAlGXIRWFRHHVDYpCJHTzkeebKiQ83rgbjCtwdLMwVR7UCwlaLLGyGpI
1AKUVpFw8oogLdqAmzqh6b6Ac2eKQ5U1AfSa3bwGasxlr5IajjUsE9D/MUqrSqL1E57PCtwG1JNu
f2b0vU4Dy09MP8lyJPsKfRrIGHA7hw13pF2DYd620+ch32bTeVk+Nkp22ZGaHOSDRU59pPt4QKPk
Q7KikNTHYbpyb3QRVCwarI3oEmpz55h97xwWM8ppvcX9IJnoA3re3E/mlnUrtHm7AjRqfOOU4xa7
oHnqx4V9nmji0R2bb5z6mA5hVhzxxxSfzl7oqJgttSyrvca7CbRA1kg2R5n9PA47p48cs7XTNc61
JMV+APjNj6y+oSAIGxUOvgnaAkQrE1BQToUDCuEeOu1mCgy6bRdA2VbLxb8pukNDw2GSaRkWVVyo
kExWChqUSzg4cU9Oqd7jdoP6k0rHoPa34OYirsjp0hz6foUsijwvNtW55Vu/5BsNFtBloEkyMzl5
B1rv1iKg3WGYdu546eKgY7mEYb7shiivY5Bg8vW4NJ9rH3gilak4Ziru1L1ZHnUVpBCbeDld3XOQ
mUV5gedz1160DVDJoON9kE3AgS9Zv20Fldrx5WBuC7PVZVitW+OErJZVmSfMKYFtblVxpwtQ/iIX
alc6RAPMLNjFAIFNn3i18XGSpdc1TqjAARvOcvR5vvJF3FcHVif9epy6TdZu3TbsssOQJbq7zPUQ
qBKSwg2xcgOkY7tAcoE6u4pEoM1At+14O4uo1hBet3oA3hjmasfRJtNXWbmZ9iDQDs7V1G/H4jj1
eyhoGYg5kGV5ui0fVnXSql4CShU8hmBEaqvHSJCjmoIyldADrM6NWC8UhUDoznoS9V/0jwgiVq1h
iXYGBBYvwP7WdWWNd+JWpyBe3UwkLlk8z2dtd21AzkpvMlcCKFTLQfBH4V/NzrOYDv4OoDLrtil9
mNorSLCeP9bZwbTRiq/xPIZNkdTtflGHFMYsNhnJOaaBxQEScphAvLIbN93VfS/nNtY6VkMypLLo
77Mm8Ugf1rUDcOJKyiqIuSRrQwbxoZV0CPT1uVwWHVTi3L4ANt6lc+wt144+WadnvIQdL6XofMmz
O531ydKHiy+XbmOq0KVQWfs17OpWLrYOGHAWtavXixQ9AdKhVEhaRDV9HvoLDHSwO3p1GTQoC9Sc
DG4r2/yK1Dunc+H1bd+BMBRR0PfI/cyDvtx0QMDapDzMGu5s5bLS27xrZTeeDAMwKDfxyw1nkEgP
pX/nL0XQ2yZIVVRqDmX/oNcy8CBT2lVSdN3z6cybqqgZJ7lApLZmCrpGyMqyEA3rIUvX3TKduecK
74Bu75C6MNkEXNqLcgTCemFjr9hlC6CMf5HPp+bl3/TzjEyY43OT0i1pYh86Bl+F9XA6V2fjnMms
jMwSzC2Y0J6jnIYV22VZhH1y5pVELkIcepyIzMqUYTCCDb3M/zzDOGXClSyYF/s+SKzjAPPF8qpb
nL2a0pjoZM2S8Qmta7JidN748wbVgXpu75DN9hVME8t8I3JgPmA19tFFME8Z89A1w9b6wM7wpbsr
hlNgTnKFzxbnzOW1VE0WL2a/AHLV/oE1fZCiVEszRk03bkWlQBuQXQpf7gAXPajlrvbnoAVcxDmM
lSSzhxbqjM52Q31YUxayjzBLW3Tyoqr4GtrbK6I/kWln2mTuP2X6ozeeg46SYWBljkynDcv1Lrut
e7RDAJhjLVl15dmIj5u8OqbMC0pAr6o+wAjIqWK37SD9kra8Mmciv+NenE44aOZc2jmVnqcC1V0w
d9O6cZqriBQ3pdNKBfqLN90g1QbChHgSJ+0E4qA4LCCdkhDRg1jOG3RaIMA6qJ+neD6xPSRDYHVi
29vWASbu7YZqqww5S1tzBygKXWsLlanPI/VSgdEZBbnfLrfVJVtPDZ+CdQA4UqDCtsGinEhkGojn
GT+BmpuC+LD0WKoMyslLasl2Os9zLFOzrw0OPBE47FSvUV2Heg5hVAnovAzb3ABi7fwROA4PCB6D
EpZZoqq4WOmZWdKgREClt6m7GdztMp28UHp8/SLZElgjh7R4AcXLCSdVvREvXWi0rHvj1HIq4kJE
nrpKzaPjPYE+Gghx6+PrwkB9r1SgDZeanqE0RG1CdcyODjt6zWWJxpBNzwLSdwGBoroizZGUoZfM
Qzg0p97L8nIoD1C8rAGV45LimOUZqOt9xNi0w4OEaZ0Sc2BKA6gT6jYUeaRHKHbsRtjh3BuPtT52
zalLPuP6BlWfrbiey41Cw8bRnlzQsVTiQmsKVHdPhuc0byOgTSgbYDg6h+1dqs6K5WM5lZELL9pw
MCskV2jSTyyLC+dKD6BArDBjqSaIpU0BJinlqHejDRYtUUtl6W5hXFFUF6jfWy8W4oaQk/Vj1z6k
cIDF2cwmNl6auG2/yaHD4MycmnqCgtxEpniCMPbWxDFh11NJ1hjGGtKj/Q46lVq30A5mSaHVyQzF
xYd4zdcrkiYOOsH12diLUItHA/VleYasWPnNaOMcJu6gH9ZiC5cUZOOdlB6MS2CgqweoY2VQjW0w
2uWmVZfa72ykJ3o5CxYUdIWx0qZx8gguJgQ+IFBDjMTepwKogzN/pmiOCZTZdtWScxjT1q4cmwcj
rOTigNjWZz20XR+pesjrLKjOCYydxzqX+XAxGR247hxbzROnebL5EDL3WCsVYujrnFmFqvASOGCA
7K+uAbwRI6A38F6ueCAOCg5cCyJveoPe47Tyy8EPvU5JN8slDM6CRtT7n3c+X6TxVyred+u8qDyv
Wp90bEeh6gFaH6e/6DVwhmYGM5Wl0WHaZDCW6+NxzPZD2t9kxq4ha7PEoerRrbzQLwlc2gCU8IaQ
QAlZNG1lnTM59v5mocNDStstyO0JgPCdX0B7Xbvgy6w9LV1v6yx4Y9b2yBjMaFwCOqCWgzZwGaCM
FgbsehrqYOyZJynJ+0CPnMoctHvqeCAwOG7QeMMem85PoMeKCQP3cIu6+OcW+t4RINYIBuIu6PgY
eW9UoWbCiyqRArFmvnVG0GVAv6QnP1/ji7T0rRdcCuKj5xPuIbgi/EbGXjQrRFo2PLSj6gKNiy3H
KxRP7iv5MnimXU0lXadD7bZOgJppq6r85uebeDv7/tKOvt7Em757KOa+WzC0aES1DQzd7HjGuc5C
TRE0/rRmIe+Xs4GmZVQuDo4I7UzAZ/KY5xx61qHMgReU6ZGi8dgo2gdDNmTQo+ZXZT4Xu/xlRvnz
LaMfttCv9/wmTYpVC1pknQ9XkpxgTbFkKMkad2toCvcDQD9mzZay6ZNTUWkF3abpclBanK/ZeprN
2Uc0qLhUw87vh7gxMDNzig2tOznp80yIK+GamACraurhjs6XyED7De0ZonHn+UFJRFzbMSJdGRQW
GiMoT2gN+nEKHJCG4VZVzIHcjbxNhhInCK3QmTkwj9jN/riZiNQTSzp76bdezPvLnvOgtDDE9+qI
TqD7sbN2DddsOR2rq5ayaHTHkFT4HHgtRntQZ3duuuk6I8cVZq/+6YziZdQh3H2C0WvoF/uurc4G
s0cgMWb0rqvOVN4Gs62jGdQvVg9bDC0zdsN0yUPsd5FLoKi5F4pvdQH1qBnroF3dQA1O4HRVgtZ8
j8ejj1EyTzBEhiZbte0lTHGvW5WFPnUuRzweLNyI+Lmf6ZvrI19Dk8HlA7iBAD/+myQkc0OWUTXg
ZqvycJrJgzH+Xdum12pZTizMzVnqXPfLHCkHwrQ0bThW671LeTiua8jpDDw9vXVqtHXAUfXcyQKU
ZDR/0mMTUmSDEZyj6hG4axkTLw/tVAak9nbF8mgnuHGDTDDXIuqYBaRczl2FEjzX4cLS0KA2trgF
9tTHS81AxsWx5iM0l1ncj8vGI9lT7dtaNmMBXNG5T3UPd960jop+vWvyNkyhwSnZctpX2ZZyPf9C
aUIvmfsdvHAfEc+D+4Jw6m9B3kVjXVANoxq1NJuUjiwpmsXItszxQRerrE0nx1KdYAHl3PR8DEg7
32YdoLkhtgrQip1f7elHuEpe7enNzJbmA87hUoUfTsEYZpvio4pA8UvoLgvIXsdZ+Ku7PW+nxF+D
6NWKb4Z0ub9MDaew4hCA4nwBOmZon+kROrK9uB32xS/A6RcHZC9XjV5VVjGlBW1x6YdiuCjq25HF
WP0Csn+YFv88EXuTFp5g0+J3sIQ/NXvk9CPAj3uyYvg/jXrUhxkFJloU68PPs/HLZOcn4cS8b0+2
lI5dQCH3w6ZD52T2ru2wVoGfj3Dbx9mJhly5MB/Q3Nk6BgZma5EQh8RoMiAK2Ot1Whs5qybMvflc
z/l1kWY7NGQ7n49HtyB3ylVwkane+msTt6kbuXANlHjlLzTfX9nuTcnNmr6fcwW2m/8vIefRZCuu
LeFfRARC2Clue1PeTIgypzASICRAgl//cvfk9e0+0WfSETc6blMbZNbK/HI5QOTcPo3sKrfFEwS2
any3h/nuv9+a+9tNGAKjQlHnQEr/x8fyysaJrABnmFXUd1HPLnQZX/0aLrpbq3gY/fdIycemQYns
jA9t4b5XjQ2vtEzaqDqTdQTzygroUwG8nbU/hF551xO6tT2VRZaN3i/MVlS7s2hPFqUvtarvauZl
biH7dKDNk+XrjFvs2Pjtzpf287BUexIUaVPQs1GGxWySv6Zu3syl8xg03m7unP06LPUfKqrfb8TI
CUN45b7zL8iuo44e+a22NcqbcN70W27Xz3RVUCrdPBqeffhfQSHeJ6E+aiue5y7lM/lTif3bD/L/
f8ZfIO7fNuiy6sAlIz6InB54f53/WMP//gHwFB0CqD+M/nHs+iW3K+kK/M751VM8rhr2h1P0t2dM
BKgWhDlcBP/27//2E4zDRLdUcBAM9gpwgaxyw8NaifS/1y7503P8/31ODct0Wao2SsfUKrNqzCBj
bMnWbL8AJdXRpv72t2JDrv/92Nt/9V/nzN9+3T/enzTEZlaBpzbgK+XQJSSo87GpYh3oP6zJ33+q
/3+R/7iNbNg/xO/xIls7iAs0LR39w6f63Y/5u4/2z+1vfD11tI/SchF76RRNPPbiVz+6p8px/kCI
3m6y/31xt+aR+mgiCQI7f23Avy2L0enWylNjlNr7esv249bbwPvcqu1/f59/+1f/+5jbS/3bY8rI
6qPRw2Pq8cONMqKgD7h7o72MiM//ftS/397/PuofC13ChvJsF0eGparUqSXwkTFFPbxzq+YPhudv
qqX/fdbtb/nbz1KuP3tmvL29DcRCc4TKkLYILcTLdU1oMt7JX/6fnnm7bf7ri/1jqRtTVTZp0ceU
zzaPNfyNjcjnlwhy1cZkPKvT6g8952/XSEAjguURIjP9jycGpYcrJcKvJMHHygL4CcPGkGofNtGJ
e3Q3re7RuWmn//0h/71mXAJIKvI9ABaB91cn/LeXu1R1ywgFpwadud8oLiZYi+F3VUi9K9ZiU1XO
Hw4v1/nXu8Uj0V7j5r0dk/+UUrqydeQE9SBtAHdD3DEL1B23kcdFF/qxCKETNzUBGWw+gFPtGmF9
oauYs3Uu7Yz2rE0mx26g+TlTHhTubvTVLjKCxppEF+ot2Tz7U+y2gYmFiDTkkj7azUN4T0Jj5awo
/SQQ/U+4lP5mXIrmYk+F2DHltU/OyJbUHUXwHvWwvGbXmrLAbYDEEw6jR1o/UyRRVs1uuBfIg2T/
/TFcfOnfvJxb6NVHNjag/2oNumaoSTn7YaoHKA81J/Aro4hue7Iee2+G3hqQBSc+f5ujcDgBgR0y
l3APwDI1qcXC7zUsUNjBl0Ar60GU5e6+Vmu0bVcJUjn0iy26CgHDRz+3nf3FK93v66YuYz7jpoLr
yxmkjWlfBjXctKH290xreycDuByqmC4qcr95UwQJND8Vk9kadj2wbrg9FkmCyjJJU3T5QHuoQuNE
kgFQ7zRTiMHNcgjoDEEVH/9ABtkePUPxtxZQqMJufdYzLCSARO/+Ul0V/HQmX7jOVHkqIjueIF4g
tHXsqzVFkAbSDGoVIrOlizYlKTNT1jurstIRpHhTzNlcf9UOPTsathVrEopG3SFubFzlnywP7SJ8
H4QfYqF/FNzzDtmB1qMQUExqOEtMOJ69CNYv3CkKXndteTapBabXGjPh70g1wScN4ZpbANGmDXO8
pJD1FiGITJljqC8NWv2Gd7Gvi0yQKL4h+yYg8aDOdu0cQt/fSPhJtjPGNgB8m7B44uHeLtluCV85
jZJZ3nmR2kiYnz6TmUe9VI52EuHPCRHLsrizG9ooXiEXeMDP24IjtjFdEPtCUkcf1TDBegz3vfdg
Qfu2XZGgPklNbeB9fvVQtWSF+g6ddTvfu22fcqLjysIOKMlRLG6KKFZMHPhP0DOMAnkXjQmSqm8s
8HK3BtLQo0YeTmMZxBXKQVnUcCB+nG4LdLwfCtiBv7gd3vdwKBwbQgy34xEKWtgTBHL0zhNVTjA3
ga3ixV1otrJ6b086b3ov7ZiO7V7FlmXFw/ph0T5ZA/xPNuStFxxmrn6Is9Zx3/DXm2WkQ0ek3loe
ffjtgj+pmT0VNb+6rrgXbYS4mDtt6ehkpnMecNK+cpeofQEIA9IJTI4SkBv39a7kPCmrOl08mAVY
FvOCNgqa1kNpgQcSw4o8Q1GegLbCLwyKjEwsdiqRjV53LcUaAbSbYdJDnaH90j+32rbONu93zkru
mb1E27nsjqFqxwcWwHia1uKzG9vogJ0+ZdjyePo8gE+tCd1EHMt+ASymZ/Kr0eP7KNcnOkonniIk
j+aufq5GZ3jqZvJIa6GeqCh/GTuCx9UhGCU7Hiaig4aiwDpMYbcpqgImpHlo2vkQefOOQAaJXaHT
tuEPTuXe1zZJRQ/j2a9OY22yLiI9Fma9WYICEFawCemK3TDeuYBYoqrMwFACuW/gBfDHOZiymg7J
ivbAQxCjL/oE5+tOqzluRPPl9Sz2IVPHUbk+h1609zu4z1703E920knAJzBa3dFOXeF+laFcHyPX
3zcS8ZKobguAauxQaYDNAWKPunUJZO0mayxr5yw6r8mQReUtN6CgBBWbUVV5VVMYmXwTtT2A9ypl
I1wtU2Z15MXS+x4aewyxLW5/rKWj9bNVwFh6z3syJpRJHUCnQ2amT4qF21dXIlhZE2QOzc3hcW/v
VZIb26wSKUoSj4w/dI25r2Z2WY2DkpyWhzJoH0wtXoZ++tTSfZzBFIZT+CyjATGN4ihacd+L4oNw
y4PVZv04a7n12XQBVLlfF35caHcYOkRmelxQCUKVIwi7m7iqZbM1Q4nG0+599KudjFnofDT4KkEP
I08iQbOxCjOkduk3+xEBqx1Q2BcizAoCb/UfA6gS8UpvBlHL3INsh8NU92rv6cDLap8MkE5XuieN
DeuqApTOajAKYV3oFHtgOnQzw5ElRIGwHbE3bhXojFQNfRTVCHmuljbY0OWhEZ7eVM2MFdEVVjKw
kl06K+qQEF2Gg9C8ueAy6C+qwpsUTTjHPGAHjv4zZ1MD3nHqHipGZR4qd9cX4CJsfyzhR4RLAzTK
J4m/zEPWitG9C2027qkWYyY6eH0288jJV2I9rSuWEfWHrVO6v3w+Qc6IprewnWEphyECTL4+uRSJ
F6RzY0RW60y6akhnV0CrpejknAoYZ7+uIiWd5ScrGSE2Gzkn42rMxrMFzVcKx9oai6utnDk2RIP8
qAn24ADvgBP6Y5XWZ0XEsKkVkBdW++O2qYefCPfdhszIAble1G0cDSPW2E8Lg6/OGL/zhHxB5HXC
IaseGzJDwi6AV6n63munrVcRcAFFViuwljN7cFt5Lel6qml/3xX6k/gdUimt2WK5paWj7gNvfIiM
e8ViyAPp5i6tnm3p7d12eGi9cmfx+m7iS1r77kGE6z7syjxcyH52gGMA4rcZOaiBZYNm276cchGN
l6jjuIf8JumHasPC9Qocbr+GSF+2PT50CaAJUaFjSARQgW68YEvgSgGEQSKN+kWhHECt2SLTxcTe
42oXhCyK5QRMqhrZcZmqMvZVJTczhvLgkoEZLwpbHkO2vEjGUlu4d9D3N7YKVDLN/T2nThKE6kpr
CNQ0XPY9AA+Lk03n67zwVUaBgYwK2sbAxnjQ65FMekdkdLAt5xR07rFjHESVtTRgOYLm5Nbeu5DN
V2ukH9uslHHP+KsfNSbtVv3QKZgPXRBUKbdupW3v1wkyG/uqHGYgB+GnAabhqWanA3XfyuYOgstV
ONNFtANPg8h6pwYIiUWiF1cQQAhO8BDowoutpb6yzrvXUn9VC1wcRETuBs/5JBROrovDOCmdAEiF
C1NylpDAm/khshED5MQ+VC01oHo8kirmNnmLcyz0q+uoUau1XogdvpgjsDfkYbFEjpHlotLUC640
Vm5oMdoII6nntu2fV8jmOdIPZ5973cMomwJFseNDi1YFHrwqkkZtA2+58sLEoaCsBHmK+grrqEJZ
5Yw9SGgXf39QDHbW0vGJVIinUy3vismuYhDYBWq84IE35N3zEVgfoaSATZwvrXZ/Ucu5D8D1x7Rd
N4T6H50T8R0iMCLrCyThoqk4rPZ0DyfMwgEZXGxunV1pn2UrP5wQONA6tLCbGwdmqnBRvVrk0Io+
E0uRT/DSSkmejOc8u3haTLr+rVnCc+SSKjMhw8+KmkccTVc1iv3g9p8ybI6ITe5tTsGiVKcp5GiE
i3qOWQGIMTR0FxXh89QARqGG0Hi2AY/4Zr5H1mdv+/1nEOK9lWR8DlXXI3Os90HIv8pxWdIyWF5Y
uz60+D9HHM6A9urvzugDdftXDlSfDO3OoWI7UaA8A5mPNRd3vFplXLbeF+qJIsHZ+mJ80EvIUp29
Sr7pacb7WjfYSvkyhNeWWV9IUx5IJz8bv8tWl49x6y+P0iJb8FP3q9ttfOGceifcjGTYtbJ6Iut0
7i3nRUj10QT+1hbWgdIqD2l0bFh1WQNEUWWD4Li9oU2XFnW9JmwI9yoiWSOnrR7E0TjWFoMW0Cf4
yVCwcx9Mu44PKcTYbBqCH9LLuyrwIG15Z7NaXVx4d/Pkxw0KCQp0pi37TYeo00CqLQRjz/THVfgo
OidAMPXBoeGDpdaN0lC4fbM8rnZnwFMG31QMl6AaNl3Vp+hbHNzA9oG27Z0sugyNR1aFBTLl0XnQ
JJFWnxIbib5maQ4A8TeUN7BPO4IQ15wygxxWMXPcpP7uluBeLIjCIXjzfjnQxdtYYkYEhRyCyd73
Wh4iOIm28POqmL+bqEiHBVZLVfwCT93FqqcnpxnyZmm3YlRPk0c3ehxzz26uAT5DVQD5DOmpGq2s
Y/NnCXov0oBO23nndevOAnCOz5R3pJhw2uoGC52fogLlTBVAIPS97QDa7EYmwdHbSAqgaam77yBy
n3SDfIGR7ysfE1Pgj2VREpLyvmP9S02DvUsR9Q2pDcJwSr3APcFrzmfgsdZcILLQ79tAnNxp/CqY
dapXiVpcWfve7sGY1jlpoqO2/EOnkcZ1vLchaJZ4bKst5P2tBojFBRB+bqy7ynPObtGfUHI+hjPW
NXUCDnqhycql2bR+fbxpEeMSbttS7H1eby1H7wYOKgjqxuO8uicd6lMYGPDO7oY15JVGHRCt5cAw
K2OdQZqiiPmSfE5wLV/naX5yhefGzWjnbK23rlecCddvRbls6Dxt3WrJ/T7Ydiy4OrZ1jJCupU15
cSJysNvhaKNc7bV/YnWzG5wOsydEyrQ/4s4ujuViHsfKyYXT4S2Si2mmDKGvRJrbUIF2vAQuPSx6
/uqH8Gfsum1hDRtm1pRrfJtpWpFKkKelXPMQAHdhpg/03OkckU8GOga7SaAzpYj9SefbavynqDQv
vGUog/vMrEimTC2ylILslR0eloGkvb+CRR2LHw3zi60sLQsPXwd556YBs+3YD+EIQ3K0qtjFAR1W
ChyYe+8V4O5LTyRWTQ+yCzeYVZSOxXwxprhNLnhqgnpXLOJFOwpgU39BSfQNvCD3a+u+GJYktG9J
Q0Ch4lZlM3pdaH/H/empCJq3YDA5wVEfARsaxbJfyPADbSPncNcXeOoGIoI/wiMVxbnFUTn0Yh8V
Vj4HGi8Lkyci5d4r7m4QA67TkQ6A6FqEhzuX4R9rgRulc54rDXSVR/J76b281MxKGmsts96uyz0Y
b/DozgTmGv5AEnUW7qoh+g7REOaR8GXGJntAWWMfpAPCKLJmN6XSZIPTnH1HvRgNhKZ0tEFPUFTJ
UALtDUOg5p1Gu7N4PxzwathjMMHgnfsVBXDtIcVCKGkTpWV5LWGfb7gLVarE7IyF63ALZN5JTQvw
t63ms9diBAzErijxaH0fzA4wPNMXSFmbr2q4BSot8LwFw1GFE89NeV0iZLai3m4apK4tDyC3KIbL
MMlLK/EJ0NERdLouQiTeSO7MEoIvVMgA9q27h2S3xK1yOrxkQPYljc4Qjpp0iBZocg2C6kpUYTrX
1kcrojLns/sl7GrNIwIxJVq6N7cO9OMcSpV2atn5Pmp4OCU0h7kUoU9fPBRo03q51Q0b14yH0UbI
o/PJa9vVP9CT98LHce3eUGXA2EEzsrgc2WM7iLPs661CNGhepty0U+YN5qDq+VSGK1Da0AD2Z5nT
0MzrphdkjC9T6RwJqV5wZl1INd+rPnzVrfiZafm4VP6lD/mF+aRAV7T+YuX8WWuE9hcFWmScgrhT
9ZCVhobHuYeaPjL9GmHCSWqgACWkUG/a1h8utskyYZrLQhw0plNlJ+5iZSjY3YxVjQbjRn/IKO46
B5WBr5atKyV6VfLObTSQLqZQxrRe2KYIyakp9avT4ROoYb4yMlqxVyMBQW13q1aMRPCGZr8EcJZZ
O93NPbaETbrcjFAdOo5yrFt6EJSVDXkHwvUciStG1gzobyhfj0LVxaVmiK8ta/VQGs/OjCcf5mlQ
CbX8PrFbcL5VJw4i4DLjJhJJoJxHu2avjUF9tlR8TSvLa5JOFN3RGPPk2hrioxc8YSCMn4HoxfE+
hzq1uno9865W2zGSpkvsDrxDOei9jrBaBcfVuIygY/yuIFCCJEnlYJZvzsdvlMnlwV0mnKTwmu8G
HtZpsfp3YqaPYWjlfDXHwvLz1QVrEpY8ngxq34ovKrEEpWBFRn9neODExh6zukW8a6oRSEFt8RUQ
DFiJXG5h+0snIdEIeS/qLhO1L1Y/QsMLhv4RA41MqsLBy4YJjZ3ngB23rDCpmPkJeajfeNFvQK48
8BWUrXH6ZlMENaYCVZgCw117STE65TNa6FvUlm1a22BIZT3X564vLQzCKJxkhvaQ2JZ5mW0eoi+7
Ic99fZp5W6eERw5YU6iNcynGdBWqO7QONrRCyx3bkvO0LroTd2YLQBAuQGCDU2wL/tZp89mwOlVW
8MoZoCUMcnq3GRLPjeUJIDHugpIIPwfjdDCmaNxxp8mdFp1dyRAdLR3+zGbvTi8Q0npUTZaLKFSL
0TXQWqZiT22wx0iRvnoDe+ybW7ohpL9s4WzWeRj3Tjnfe321EcI8hQtsSFE8MhpBal3mhDD/peT0
fg5KaE0TTWqcpXEn3SmZffWM8hxDpqKuiElp3bWj2JQjCt3bJCQEwDBvaAbObaHlGUp+Rip0SAe3
+FrdfgQojNSuW1gXxCDfJrGcVzXwTTgP7NpX/ZvEX50G1vBsnOG207wxRvLoEvTjY9Mj+GHsU+mj
ZHLLZYgxDSHjZNjYHUXtzbSLnAbGXWFkQpVRe1jiCjOb8knV1XEpuwaTO7oxDofKoJ7yIRBUmJbV
TKDdS8vZoZtPm5q1mWc7PgY8uZ8++uFYOTZiOC5yNP7A49KSTkYiH3BzuCLJiD8DQSYH7PEMjagd
ivAyTvVFlNF3wNZPPfl3s91uwaKnuoAsNmt7W672AXhLrkz9iPWLU8YzUz7XQKMBzT8t2LxxaXBM
+d5XMyKsQWawcdrBWK0OSZ1ico5iCJ7wsfuEqOrshFW3CQbclLRTE/paNSJNYG35KPHdWhBRi8CM
AsOQJlbBLZrjv62YoBR4q3Pp/fIXvu8j8/8apkKnxEK7GU+UFJiU4vNtr+b1Qbv4C0OKTR7ItcyL
UBVYESsAB+tXF4kjEuI71iHMWAb0YFnsw+tCiC3hlSm1mZm3X6t5BzgcDRLOJbf6KUr8oqo4KCWf
PKbPbg31ZDKnEBBz2fSHyFni3u9OSvpbLMhdPXIc7XOsPNQl/oIH1W2XTCsCOUHobifT/vJ8EsQB
J7kR68YpsECdsRqOFvFu0RMmL1Wh12faOtO3pAKqeyVAMjXAOabgVBSdzH3HTss52BajmwLKedKk
zFuzHrRzR6a7Ypxw7tr3Gmm8AEFTOlsXa8CXL62H1YyJ8C8dpqGNE0hajJgxGGoAHQnyNOIbvIzb
0epyT7veA8xKkrHSUkkEQyg2vQ8qzyeI8GKBrVX9YHEEnjwkyNORlalerA90zdGTCsOrs1T3Q6RK
nIomn0jx6vAp9w3JVIU4o8PjgInY1tNltPr3CfEzewaiJVnSmXcHobOV6ET6oNunBjBfe+d2Tzfh
WTf9uZwxHKcC4rWzm2IbuR1Y75pdpBgQagPUZoB7Y3QTZrfcdW2ZLHxONVSI2rb20jixBmSOlHoM
CSeZGnlRRZSNVXcaIcxgpaOVuo3YOnAp99Po3E+VOJgWVkUkikONQsVWY26r9YhJQDG3zdafeWKF
3ttUIOsmjh6UhA6iXtu4QA4h52KQQFOvEISddBFlrnHE++92yF77sM9h8/Q1ijzbJAF70kydkaob
uqexP7RTv8eIhbxB7n5plsw4284DFw2ynuiP0H5roqxeX7h8G51HeHkIjRYciCsawAXpMsw3GLaT
1YBvxGwxnyUjFppyAY+1SdioDP153y3QBp1kwDjs1lxY/zRDgGqjX67vbdh6o/pv+vxfUnuNY7vB
3d9E77NwchvAEo0uYXAO3CM0L3D0BKx3d6igKWt+FCaE93so9CVCoqKSr0P4Jte7ubypvxSHkMiW
Cg0HHA65oQKSE/qocPh2oGuNy12PxAOi8vatemygIfZyb+F1S6QEreUhWh9DkGWyqWPcNWw0e08C
TXj0NJSdBnYkQ+0AI021EeYMKZRLyXBLcDzZlMRokqM1n/iDF+z96TSYXQidSg1XEBZpCeCV0zzA
iczbv+4pxD+CWCI25LvYWA8odZJ+lLFtZxNDd3IZe51zup9xeMkwBPzzioY1RbnBRRlTDN2z1Umg
qWxx6MJi6RGwWgr09etHZF9te9ngrvb5DrhIHFZ7X1+o+wNjOZIl4mM/gdqMyMZ3yNATvBVm55AX
sN4Y5GwU8ikq80yMXyY8NyW0fIlwfrljPAk1ZnEBIG6cC8qwGB+319+96bdL+FY1n7M/XDHkEGHI
Y8sPpWvFTjek4fBYzg8Gz+IhNOoSroauk2nicadJWlM4AO2UchDEGJGSjLeoGFDsdjj1w5s02LKR
lQrdogg44SfG7tzGq1clMIyON7x/Zu/OHO7rjqH1Rh2EwVprhNwv3Ur/XHvP1IKaAPJovKwRZgkg
ROY/U4ZibyeQqFk23YolhvARqr7JxavDiDtMSXShTqmp/hlsFo/Y9WO10+y1Wz5XnCWwARNvgGS0
n6JN74My8/dIY2AbbImeUqR8KvcwwR4eKzu2piuzotzSFEYYMLmqScxyqSj7aOQmkpnw22dvOC0O
GlxkxSHkZogqJkvQoAXPmaI4CWDDIoxbjZ9kwC9bnWRVFIEgmXN+Kha2g0WD2eJXE+SF/aDBOjW+
u4+8N1E+oqu+uw3W7MpUrM5ZzXNGEA/snS8MdkqCoNs2drOB1UShNVKyps4sQCWP5uT5cFKqBWdr
hzlicT/PJxst67jOKAV45vRqRwf7yeXFiQVlulQacbvVxAZHxwDEcHbHvas7DSlueHCsCmbXbd7Z
bZNLvJl3x0IDRpFo7NGCmthhGweFlxN8NXrApDdoydPWVg0kSrh2erzUMBSyqIHXBU+oRj3Q55Fv
oZJWQBvltR36Pcc5qrtpI2A5TdWSYSuDakRXPCNNi6uyCj97FKtEvYQ4zCWmXQW7MrS3uv8grtiD
k3BwkjE41o535TWktyAf7Y/AvIM/faABQtiek8uux3DPcoPWMSfFguah35L2LcLitCWCpPWcVtG4
ISFQesSCA7xcGUHDhWKJS9VTLwL2uII+JXA04AVdGCkyTFFDE+1gdkOVKDGB6kbsT8tYF0tSqCgp
EFKCmH2dlk+pWHoL+FVKbUkNeQtd5Hj1jTpX4tL3G6mvY3Dn8bfQbbNuUCkPn8LgoV8QOsBRi5l0
lveMWjVuV3xWjYZsUWmJcqJHPyU60Pr4730b/WxriCdb5t2V1tkgqGe5AE/svHVpEn3MiOnRD4UJ
i654WjDMDO4xdOMvhYqAvfnrEV6e6h6wPYUxSGvfaYVcYosheiFuonRiz6Mv8hDlgZmuyBpK9F7Q
AwsIAwiQB9HnbH1Gt0MAQeL+xerC3LOmdG3utEG833sKTOYijzZj/puxz0HwSw3vxGkT0mYMkkU7
bmqozRhixTBBZ9qPtMpsKFYquHcRhRu6vJIYc4SRADyfHURhnS3G8FDIfORl4PLc4HwucIYA2wKO
DMcDEzsTTR4r63us4S6dJIa6qXoTrHc8XCAs+NsOIpPtAOWfU4WgMUa+7m/xij7cFzgGoejCrpIl
gNFhA0sIgwQy6aRUb5CFGr0mp8NGwp/3onNV5/ZwP9QYgGi+kKdo5AtzL6RHSPtrRlTZCrJQfhv6
ywtULiHNMn4lMxzVCawQ3E8rL4LMkHsBZ9E8CAx1II/W9GTPsQ1/KcBZapCQX55ocZrrXxZomoBh
xpuECFpjyIsfxvPUXZeaZs7gJhIghDu9DTYCbJa37+wDMehuPEwi2nCWRc5Ph4aiQZGvXhi7KwgQ
6DL3xs/QflmaY4TwYbFG1x7hzemXPyMl05YF9G+9b5Go7G31SjW7FtgTpiwSjmIEzA1P6h4aBbL+
sE8evKb6xYVKWZBHmIw19ey+q5p8aQTGSlobvWh0F1bKaELDrGu3sjuH9LlSoDxk3s3Xud63BJ7c
8KbWp4Dec+9Zekl101+vuLXd6kRu5/34brg5l+yrCZDZ7d/8AbyPTptbS0X92J/2BrWBZsd+3MzF
yRMk1uZJd3U8tNWmImlQ4J1fohWOE0Mu+CwGB5mi6JGWYI+cOltGzFqA2+yWu3q+W7zrHCQVSgSZ
1fhu6LQQhhu2LQz//6PsTJYbR5Ku+0QwCwCBacuZFEmRFDVuYEpJiXme4+n/w9r8Xao0pX3Wq64e
KJJghPv1e4/H/TGJT4X8UCb8mmxumeZM3i5B676JvwJBg2bu8pH7Il1bcQ0gFg2O0qbEJ0QQA8DC
GkAtkkAunvr21DAAdeY9g3rtI4MHgGkn28ib0aS+V+2OAnEm4q3o39Cli/JC1H9QG5nSZvaSrlzN
Y/L4GQlJlHhrMWrDPPPxlhgcm9RuNASGOmb0/ro+j9uz7ez86oGZiGK2ghIuaqrc/mRLgUwBv2A6
Usvo8R5Wo6uDdajmcXYok91Is2goqB3JwqFtTT7z5GS/VeJGBygBbORl/ZRNb6nWrQzjDBWDyCwl
1l1ex4sOnk7uf2rVIcGEiy7X+NpDWd8VICJ9yyDmDTIoWblU41H5RUPeWOnGlOF86t4bg5JCNhdC
TwrdgbS2RRJHeveMHuY9g+gQn/cIorKJCw7mOz/K1iA/XENbNsSOc1R0neq+8fB8QhUuHMEzE698
FS0N+5oEBwxcjc5H5ynMKySUg4TM4mISySKDWuT0zY5pMh3PyY0Po/3ZYKwx0RbwyIU5NCwiXfUb
4T0qmk/PGFejrJc9tE/E7r56qCLshWEy9/QEBxyf583jbOVU4xdpPknn00sD/up7wz1G1DjM8yv/
xTXXpQgQOMN1y1Rpeo68YBtHOKX9OweqUV7uAnnobIR7eZ+T7ua2pI+idq52NdW2lR9GbwtUp3Ow
03JOkmJzkmsQn9x6F9LkqvJoYjTK1hWFJqnQhW6eXfVsuxfJuEn7QGjy4xC0Bs9Oe2wKgDE4PjRE
9YVo7v10Vbn7KGg5VxaBwv/TLDrjsaJvVG+0FjWZK4m0tuRK4PHb2uNnF656L9iEwQ4Bf9brD46D
J5QIKJxgMc1UAJIC/wfTcn4tappp0E4od8g4ZO7BSCw6XwB0BjjCACFrnAUVONoKPg2cqSbbpO7a
ankx84EkxNygRAqBIuT8cF86DI2Z79/btfGSFAd1myHo5qpUu3gknGqlqKL2ShjLtn7TKu6Iwbrz
KHlF8iw1QNyWbw2LacRrFIX53sQ3OW9zpnd1jZBW+iswhJtQo6BKu/c4G++qRuXrXBQMDcBMZxL6
VoxLu+FjSMtdappb4Q6flc/sZor9NZ7JcwoQelA2BprW9+AwxaScZfGKAA8HaBgK7lugyrFnDVS/
zaPlY8kxvXBb1RPcXMxE1FFR9eGK24x3VMTLmYEX4e9Y6sfRzovzqApto3J37zvpxcYrs8qgLo2M
X0bEeWEDTaxFdlG5dpjAdjMQvQxYebeRsjeeDUdHTzcRv6WwyBb4P5+IJu3z9MttQoAtAck5nmec
GFrorqOeB9wam8UAjiwYs50WW3Nz0uaiGIgWApP1811+80plkCAgZFdEwZ1chyoSel9O3awbL1v5
aXuogZ/WTXWMinSTxOa24ccWFfLZcu2LhbVuarKTp1OMevWhtp3lZAVHH7BLWJXNHKGdakURrXVN
DGuWc83QVHG40TAwAYMg8WU2xa4V0HBK9YYaf8F+ivUhReZyfyk/mrcWgZsQyFfLqI78ebkIsZBY
/TrLf9flfZu8WtlbwkEb81X4cGQiyv8ExCAO1ZmVb1smMCPQDmovcBhDaC9kId9FnC11pn2tTfDp
hnugLOPsJ4VJaVvHKCdAj2b4sWIYZaD0FuO4So1VKuYx/ym0Hb7bsST+b3CbXBWC2TCKWZXU8wJ+
j9b+5oJu46M2ngpDzryauwah0n2LQURVz+j/iwll2nLmZXmqk0e7WIN58uM7GiCtJceiL42enCpn
fLHDJxw0b0W8ENOxhs/iIpzNw+B3U+2y4SlqOZ2PjXVgdlaEh0FtC4c/5FpW7+W09gC6hE21ToOH
Mgbu1N2n7YuPDavNZoUJFIBfEUcRTcklJ8AQXLoeOxy8gEWR3YMTFJ8ZkczpPBirCK+FvYncfdPc
heJucLhB4nngLjiEGuvsemLOn+ZO2Lg5DznsJTbWvUf4J1spe4ei4hM6TM9EC8jSAbie+osYflXV
MQAPX67ohL2PVFtEGkVIUjHv+ixZZRAkl94889QiDhqkpmAFAYRK+HG2cFAwN77xj/BGdoBIkBvi
t3F4zM2dCNdEfxPafrsiMc93FnKbXeEWG+rN7BYmJXrNwPvB7N7N7KMD/4UrEMVeb5cqJmuvLyaY
UFfde1T9Go2TX8gq7xhAAFcHueh5vw2cNcUmNx/QJbKMzpFMqrVsuWSC18aAQPFVQ/0KX3Mm373Q
5oZ8k9E29987oBrxZ+PuU/kwnf3UX4ooW3XDSdNoX1bSezdZgOCGc/6kXgCmMeE2ceJGjCqiad7k
FbnauQfQKxI8VeZF0s/rlbGtAvza5dIwufqXMfWHDMDBkyHOPyT7F6z0oFs7vdn78aJ58mtOqVWc
vxf9SjJQwbqGXGQUxyneKG1rcSECQ0xGrkXs1gPjgjsP8/cUrLwOVNYqmWYBux/yT/rGQWCiqzep
tgr7paieVUfl/hAilgx0o1gzyrlI3khfe+1xuNnIs7fYZBdCfHaDjS4OFcSQ8jMkiWaNG8IKvC0j
PmsxU6WtXWy96s1sjp04imZhpbxUDJr8hEkh0uTCsN+Qptz2pSkPBaxAbRNbh5rLuHqqx2gechTk
+DnzuxT7tXLhjO3hDaFG4au28zN3RpnfESy+AVIq7+DTH+BxdmBt3ZtQtF2uMCW8lV5dK1ztJSWK
q7Yy23XYHirjDfGFaZ5yNnLaKu7isDzjzdINMAabygalToni46goZhrqrP1qIpZgzcOzOnSrSFzA
z7k16Cdm8jRUw97IXgJOv8nduSGoGixQbwpMansft+sGJTLZUC+kOPojJidteki9hxQrR019yL9H
GIpBe8SoT6zOKHku50G38RokTn2V2htA5ZO2Fekejhy1kuPvM8KZRbz3kaOwvuuLcFzn/m+cl3S5
jOobrBgfvYvZCl3Cfy0A9dRBjfF7TquBqXIRty9F+Rr3OXOJvd7/0gbJMGaf3Lz9/WumYwdZOfDa
b0eNh6/zN6MBFF9mLIP5GdM2Qb4s4NcynTTdlQInw/AU0ZeZ/VlMD+HEo41ht0DtNpIvfvZjPUvr
T0kvENbXEWpOm+JGDu+S/j6PXiPMhGgiTfpWOctk5OKmI19ae5GjUj4VbrmRkgQ2YhZuRDPBcQIO
w8UuC5KyKtf2eD+YG+lvDDLZ+bIGVo5CVkcvZX/vvBXDIW4vnX9/I87W5V1kr0uyA1weRf2QmIAv
sdPMnIwNJquCmEMzM+qVbu4751g2h143F0nCYD7btFDueGqqQ0/fnKhm7jYOvrWPqWGWyOGb4VSq
g2mOw91oKU4ODVCVFFJm8yZTC/svlC7KTHz9GPVaroRnL95Bm2cTQsY8kBiMJU8083LikV+7t8UO
wxMEtIKYfq4fQoKFqMcoA471HFIiTeXGwtuVwvMf2lMy/fLhfjU+Ky46Agejt04qyuyMHQwa9nKt
ODXMg+Fxnmt3eFaogmWccg94y7oPYSAi2KN8qJw5jNRIEnjm0qW4ttswmvsUwm5a7ZyYaMPYMbBJ
cV/ku8lD+Asr8eFUw11qlUBryUB0d6I7DOVnnNDF2Sbe8WUZvQqsOMw3Ng2TD8l+GEKtOEg3qa1t
Ew9fe6eyZZN1qzDwrw0+UwO33g02quceQkq9ySp3jc0PiwQlLA6uEmCcHOHfdBgiavvJMK0vH05Q
PO2h+BlttPTUwDREx8oYYqsLbCBJSNgx2k/K/cjoMwbPxlCjtFBQAntFeICp0DOOQAg2xSLh9HbZ
WuA4w64cytXNc5Yn3WWKX33xAlH7Pr7huOj78fJQsgBOC8XBRqnX0605DDvLZOBQXIRPf+/+drFq
lv4AzG+knX4R/jpQOw0a3mCMzFaOgT0tcrr8oGF0ZEvXnyvzi8YyaTJiCTRv/M5tK10E4k1kn0q4
SwtFdcrN9Qj/jhhI1Kl15qq7ml9Tx9QdWMVa4CQd7PhXmCVrWd4F4kNRPxIe4b4Ri5INJ3bGqFRY
M8yYK63eDUwHEUy3hvPVx+Uj8dLVpOwthQ/SGZS+4dWo9aVCK9SGxchQQ0BuZcI5lyDhlFFsSlkf
HMFELTUj5I3hQ8vKjZJU1wKt1cNlqxkaY9CqfbRrYL6hdSmle3HH8rlxmx1GiFneCfYqKTiA7JvJ
90NTz4U099UQkZJZq2RYW0GwKTP+NCSgsbJWVZlzg+XHxky+RuZncUt9Ooh1QZur6RerTFeRv6+q
c1ReMh1eFI68oc/vQ+A4SRrulP0ekitR0Zts7H0CQC5hpUNEeAvP/wYj9TajIfG6ZN57gDKTW9Eq
Nmap5q7vrTGmbJPEvEvxF1p9esfOp31ieFz0AeYI7AjSWhaVvaCvWGLnX2kICiIiB0Lnr5R/ZN6I
AU+Pf2kR1BQrW/NfuE+spya0Nl1TbsJ2IJTDkB+gH650olJXni6n/OqCFfFZOFo5v4BkBZP66HUX
1/jQC7+c5XTpHhTEKeQHBAAZ+wQFXjBXFsO8AECmNMlh3brxgohe2s0F1TOo7nEe6savMDC3VVVs
kprVDzmTPXTZnMCxpp9a70ruLHCuOd+5r4Z1l4OmC/Ozjdri0krnVYh5An8O5RAT/31arV38Hpnj
rSZ4TZqfkt8q95rtrVPeXwBWmGGThINobSDkYaKuNiQ7VjnCHss0yFUzZkoY9AwajRGDsaFkBYTY
CPGcJyhGpfsiK/8UZkAoy2GdWyjOeruSHaMvuz/6Hioom448j4mvXdAEiyersOdph8zQv2vVpUif
nK5eGX6xi3WMZQ1Pegma06qWFQ1aKM1XNm48sJaHYR2nWuC82zhs6oLKPiAIgcQ/cBQn7PUKe5Yw
VcE6EdE61ULSDMyDYjrnpAqfSiEBSlLepgfTuJoKiZ2rQhpMDf2eJSOvkWoXEQK2RNDqI0za+3yI
t7ghsAE4iLt+uyFFyoYjG3BsNABbRqBMykVP0UrKb62MRzfiP7Mt65qUFP9M3wc/Abyob/q0QBdB
ry8CA/qdeRoK80VIBIoSdOfY9ps05CQB5qQ57ryu3hhJ70oOQYeKgVkFFWuwcUKxGHPrGgTFwsy9
QxhHKzdqFowwMCcOm27wqIDJyhaMZthXlnuQd4aalTPDxPAGyHSnoxb2m5sHvpsYUbJxwjFbdk1N
0A/bnRWFrwRvH/LAeSCqt7E1zmyHaJndE+YYg3k/dnO2pLAlpzwPlg85V1vp6Pyhn9CDha8yFS/B
4D86JAGjOtp6enBi2wwOkip4DmRzjwFunzKjcZkABlWG3m3vdY6bhiBYbsG74VudwuCgIRwOaE22
rw662T6EKpizmhgXXcRPJVwboX7fFf66YU2MbIwtnrF5BQuoLxnvhtQQTfSauvyksg+/ZUAXurzZ
+hDl9dF36nmi3KvAS6HFJBgBqlodpEtvZtfhxgKqZbvBqmQ+OWYOoC+Jpe4Ug6AtsukwxTWbWMLH
iOBWbTdYRYY1khwTuJRQE0NZzZinidpn3KAkU+qWyzG6mFO19tn/06WIDNNaMcuean5fUFFdRec8
TGsHkiT32cnK/bVs271lspAmfw1UuGjNjEIm2wrsG4YXkil1cB6kMxYbAfv1961MrrprHDvTmRUe
a9Xo1fRwXDYKbxQMdK8Mdk5+rPHkhLa/yrHERqqheyQ6gf7LbKTFvysT55cWtIdhoJ4s+vYqdbDB
lXaR5PkQnJoXw9LK+ZTniIoS2JCBtW2OLIYho2QqgsHpo2yrfqFJWHWFmf/ukj5ZqRRWOhP4Vea6
5apwfPKluYy+zKIvd1ln6Dsvh9Ikkkk/N87tYiMEZDkRd7/JpL2A4mA4B1PTkOV69C0tmt5zU3+Y
aNRL86MRpD9SYT2lSXof3diVrRdQoWpMU4eOpq9Q1THVKo8YoKktuq5+dW33tu4MNzszCtcrP7xi
cmZG74XLVInfjg/HzQxTFq1NTPG0EVVACxNn1zIVSwtQ9XmPwmurgRtBoxBv4x5+oOX/ssbqgwU3
GzPWTikVUx12u6n2YF037nMcJ0f0vDlxRfzM0WtAECfEDdDY2tX10Yp9R0+W7RBfphIniqb1C6dJ
93AkHf+pbculn3+aFUYGIl2QPM0gwL9fLzTh8dyR1WX6ZVWUE1N8YIkMGZHw7fb4TiOL2wjHGexh
q4YADHWyhc6xzOKvHlQzUZ6NN12NsjrpSXduqvfQuSb6SHdRLrsgmTl29KD435c9Hil3B89/ipFc
bKKnG9HDZg0xjb9lrPvoi+5qmKS4rGujI43my3D8Hd2QcZO/xMtmxD2/1TGs5l1DPahUgYDfBKck
qjeY+pZjM6GjOtPvBFpi2LwPbvTAwgYpd5mYaA1GtuUxtzdbVkgwFU/jZeTKc+Y9eN4vP4mWgZvT
BDozLX+u6mhe149kKAhBT9WLFsqNhSlUpXcpUeOWRGcJQ2wi1k0oS4p+lQL2zEdr3hSfXvZulg+G
9cGmOnwqcMYZm/V6eM+WnwNbNcgKYXke71IaUatN1zjGVhHvX7PuScTCMkPBFa8QzXlHNXNavB3Y
lJe+Z8Eh4rK9iRl1crBie96Nz5OIUKry5YDLqCtCFu4Vu8FB+iT4RgFI88F3B0ZSjQ82BVU+IELE
TGLX5Dsb+2WyS1AuPObTm0Omhb1/9rtb3VkwyJNamwmkIT99UsA4VbwluUJdS57JLxZh6zx53H9l
H+0nVMyO/JQVSv4559oNHuDWJO7VQwBQH1UG+CajG9+/dhmOCg7rLCX14mXLOgeRGQQrMeR7RVA+
IhRcMztmDyTcU+0+o1vQXWxddxqlcWg8pNqLL5/7eAd4O1IG6i+yRzRPCXH3hB06AfCb01qHZGYi
AbbV+zTkLzXWDx3XjahfkyJ8Rby+C5p22bZRsS5wbfEbsB9Ga1iyEevJn6b3Fpvq6LX7mhQSHdOS
/5OTr2vhKptqNLLSf556+1fCRY8rr/090Ko5qeA6zE0QpjWxa9scnkOD7/TYdobCe1TNR7xeAq81
lBFgnNn9DTZc19qudNtyoWGKxMoy09gJIWU6j4NqFuT0FdleJdmhLeTDzbs5eoQYkYqHvjq0eXHM
+mZPVn/eUcdP2qtGHLlKGBmeBvGVcjT3/Rd2unmmniSqPqY6i9F5awWLxtAYCaB6zqA10T8lh8bC
N9uECEgfBv6pYaCcs8N0nFd1diUAOMtdWAH9uBUWDWcTLKixVg6VS0+V3yHqxGiXUzHuHPoRLzC4
XTE/FfMM7dOOTiDr7vO2fshNE3IWwGKXftc2+ABbvPG6ta8LZHMqpAltoQLCWnc77Fe7oPewkMFD
aDFi8AONALqzUueFdaYvAcP4PvD+yY87tnNXudF6sPqlE5a/sECvfSrZqrDPhJlYERzyq9kM9DNF
JtZBJrYCNaEwUPvKZDi3MkDE1a5RK19GGwXTUMzLrExytljqpXDi58Krzn7NW6rs7qlyuEKYKoSM
8txrj6JZgrDcKbPzVz4m83VDY3rrK4/woqpZ5SUfo8peOt+gMlPX0UvmjbKHRdckQGyTzjzoshfH
Iasvdus+Kc08Dk4VbLqCrESTDK+hyG+eo5Wb519B3qA1KwRGjclthRu6yqSiSIkPVldcIoOvNNbo
e3yJXZOrRvhAyE3I9U1+MrLGn3nxTS40jXCrDaX99TOG4w9MFMOyzNteZzb+Os43FIuIPVELAauw
MnHkmS1H8tASuCBS8Wio3plhC/4L/eyffWD/Bs5IdkfqHh0vTDIYMP+G3ES+HXq2R2pzGIS1iSYg
o47bJksfmuZcY9PsOrEcdm30FOa+4QOVg0STyspYx6q5/Pz+Tfe/MDYgt4Z0pO6S7PrP/qzYEWTU
e9R69I6bcUxvFpEOpNEuh726OTC1BP+sWLiRtvbN8qVomo/Bdx58M36sk1xbhpp/X5gakE9rYH0w
2Bpi4meDHxM9itBnxm0Qq9lrPZfXsHeXYCJueI3srFiSqFI6OxPcSJwaFwP4TiPURihxoYXouVqm
6lpyiWKXx1V40JFz2EOhsPDgrOIhIroHpyImb5q5dyXgWh3vkiOrrUMc1zTXvsXsBcG51NtLXH2x
2yPlIIxjkndMaT3sUempdlbosAQWueXOyn6WiQ49vnyIJvulyH77TrDFHrv33ZpVt9FmsjjjdO2A
z2AVJNHcTRxMExx/PTu3OJh4ymZ5XNw2XVJUYB/CqgRp+GTngCZVsAsMC68/ANGE4JcY/WPKqUJz
coy8hg21wwHk/lqw+SBV0bMWTEREAvLcw6po8pUiTZcU7SXq6+0U4KEJff+D/yP+dp05ZZdeJOMz
pjd08gMBsqG19k0a7jvC4sQf4GxIeeEKWaqxwppxS2zm1uDPAxk8aFPyZKs7KKytl2hzP1fks7S3
xPokQRRmzze7WJNN+6IzF6rdEyTmpuL9tLclOPSp1MyRUW9scoxWUr0BGVopz2fsN+0Mv9nX/rYY
n2R4b/FZmo/MI495nHSLIcIIMmlPhg/f4SnOrONgOEvTt59L/8aA6m4r/Mb2RaHVx3WFkklAoaTp
Z/vOxWLWFKfWpmbf5Sjjjc5y4MZvNlGmz9kektlrO9dWgeyeanyU6DtTMOJxTa8R81XwDK2Fr1E7
TgI/i85eam5eQp6bMW1w1MNKSN+T3GXtC0q/v9O6c1gflPPbSK++TqBJsrViyBbYHXA/wXxkNhUQ
Pad028pIHoeoesmxxFecLLZ9dDwyPSpmRZIKfltRs2wFf7T2aHVwxXHsyTS9zUq5s008Zx7sbwbx
Gm5xhtm3sq32g21RY+0hcqmrZ5b3rP3mM85e+MxwOA4rXX/L0amMCkJ9aVysKj93k35gTdoiLD0u
CL5nlymZfbUQiEbjSTP0WUFuj0DTOvAuxPYWI+4E2Hl3sW5BqkXOxQDn6f7eIkom4a6POtm1kNLa
sk9U9DOlHXoPb6bzqtmf0Y3o6/asdFw2gzfDX0qeXgCbNAHY41IPGJCnafNVqNcMKagLrvV0aDhr
uHeww/Uo1vhXLOsVnhOpmqNlaStKOmpyri6JMZEO17WDh5ufYagmXK/qaCfsu+tGuHTvmc1IM7Xn
MnVmAZnUcfxUevIckD6NAovDw14YWXI0iaC54bD0Jx6k0Vx2db3BzXHxBV4DKhjSiOgRyrHWFQqY
7WcvmjUd/azm3NCWPfFBd4oW44SIWGlIAjJlZsTuS80ovyQr0mU88CX1xXKYWLOXAsHpGpc4fXeM
Q/srV/2e+m0eTwerbzZWGyLhlo+xjlKa1etyQDoZbdpgJkRTwoIhH3tGgIQFH2YYuCDAUb8NJZwq
Qhr7nO821vEEM+Qcne7BR3JDXxivUxSuxhq6vnSe+grbINMo1sXfNQrZLB+YjiV2nc1SYtg/Xyg3
Gtz3y811DFeSMEALFN8u1HEwzAm7O8t6WT54+zExB8IGV+qEwH9+pT9dXB6LkUF365bA/f7va3Qc
6qyoFbuqBqBRAqUxKxdM3hrSKnE6rdra/ws/7b+gQmlwMbOamlAI0vW3F7TjsPFKlUJ2Sup9G1T7
XCt2P7+nP316//sS3/h3ITJR6eQ5yyxDx91VOht8bLN8lYzgf36h/0L9pCnY5EwV4glheN8IuanE
DSsU7DFMK+lcZuSCW2mmyyZqnp1g+gvq3vi229vTdQm/3bQd3RYwVr5/V5nmSxkU8KFNv7M3VZ9/
9DEykaiYT0+YEjkBgjdHUoCEcYU7I+jeRk/+CiM8VYCLWMYSbKa4OwR5cGoa40QXxgbovKCFGW3x
lwfrDxTCf/+1376Faqjr0Jr4FmpN4KImK7TUdTJuoX+zurOnkJMAVykDNRb9OunnYFTRwtGHaKHB
oMW5lp0yoan/++P3r8/w2y9rsLO86iR/VSl96qWJOZ8O4uv//lywDw3aO1xTxzC/1abKJyNdlAVE
EeAJDPWcXdyQKCcdzeI/8+HnF/vDL5h39P9f7BvEUh/KjhAJkUhNw7wZeMZjMrj3jmt+AHn7GAf7
GI/ZX77cPz34uqTkdSQFv3C+vcGm6bSksAviOiWkLNvRdooFaFRmoz3TB1D1P7/FP/ygTY42y7NM
R5es5Pz3IcVqns52Gz5PLAIA5dpy77TgUxJ+k8ufX+lPbcW/Xur2af8P3rFLpr6VXcl5aHnjsUlv
VotAnnLZPpQQ87UhUstWZcm2RkiZeQnAFzNPbknb+C+Hy9/e9I1/+T9/iWUbtg2MitF9ikCURBsc
Ect6hJv181v+4/Njy9uya49/ud+4rlpCtL/J+EXksmzumrBTK7vU1mmr7pwRr3yVCfpIk57259f9
57j6dsmZjIaFsAH/2v/ZGdGXijubjdjEe/vbhxr9jrLf5UjYOgszcpzUEfjKG7f7Ctie4WKyMBgo
ZzndS4/NOAUuoGMgcMyBqGxlz5qU9HXTkWtLh33g9IcQVakh9leN+spsXlLonIrcO3Pwdb8itHdv
RyVZEkLnfdnRxFSs3NTWyG3I7rqFQ2FIkLSBQZFJOYtyIkvksRFq8u1D3cIDYnrFVE2W7DMkqrdw
JsGA3K2Y50ZDsyKym23HltXVkPM2RfKmlwGjH5yHig0MjcvksWIiGJCfHctL0mClcCGK/Pwh63/6
dg0Pd5htMEaxvx9FBretX9+8w2lMRr9iq1rbmvnCMKGxuIFPPe6DrB7GjHUYFfWtroIDaVM++xEO
lVuyOYjSmeik2WW0i/I0Ve3JErQrP/+hxp8ed37dgoSoYWKo//YYls7U1gTCnEUXOC3FL4qM55Ha
QDgdHokfscXGMtaWg+rNQgRsttUuN6Zp3sLnrNsWFogO/aaMZLz1huZI4veFeWT5oiWemjn5pM+t
OEMLCj3/vhIOhPnaBT6Zogz//E5uh9H3xxpSq3DZ86jf1jL/+3ertEIxjmP7XTeNeHJYGFX3OtPH
sXA3JminWcvX/Bdesv6nT0+Cs7ytR7AM3ft2WMRt33RsM3FY2AdPRjF+ES6bHsxCf297A3XNwScZ
IZvO7bqUNLD6Kba7Z0rQWU3adWgEdHX59fMn8X2n+z8Fi7Qdw3a5JCz7+7mdA9XKegklxR/adZ1W
B4P9K+4t29zL7BT2KiIakxtEP+QF6NpbNBLmTJPp3gx6aMUe/1QbzwacMUOMxHUr7FLSPlcBenrC
fqsapiAKAaPSaZmlwF2YDATbwetalkcna9qBl6kcn/HFZEvHLu5DPQYnWZ5H5vtzmzVtm5/f8J+u
xf99v98uD01UHRhGvoXACs25BtI8m8hpJDVmQKEx9fr55RzjT48a0pchbq5n5Kd/P2pZ36vKEWzd
8UgPCbecOaRxJYt+azwr1fBqhU9NEc7y6alk4Rtr/8LgcWizrR6xy85foU/eOfWvwKhm/fQocfJA
5nlqxCknuQHTCprZponkOREJHit/WwKRnSoCktFQ7+poZ03hQ8MWZ63oz26Gqh8SBYxxUxhX9lgt
aqdmvSMRWXV2hl8uzK7YpomOp03A7NbpyR5ZCrEB8xexeUkIKwcXRTCQ3WGRnmxT4W1d/9MTOjRz
+Jtaehd3zdYgJdbIepVgLXBokgEDvApfbm4wn8odzz9/xv+lTOOtYKsRT68LnU18+2Flua+cou94
hFvBHubBy/AYBO+uozCHEG3WXZ83a+HtIyX580vLWxX1n5PEc3XPcCx+1+63Kius3CCBbmMv6pr5
fFmWDuoB5oiiPE2ZyyJt61rqoB9KrAhuld/5FVHS2tlpochICjv5duK3bpfmWRTxIXGtjSF0nV2C
+KmVrWEQDRwW//gB5D3defRUcp91EA76nnU/9gZyM8oMkbhMfUQcvLNYZ4Oc5yzZ9rUC7HGv5cnd
7ceZNOG8wIQ2OOXONIt1xXKIvzzq//1l2Sirt11iNKq29U9r9D/FEElf+lfpuAsRJvbaJy2Iwqz/
itlPvo3C/uPnT/4PvQucAZpvh8OUHQ/y2xne9dIbwwDcj7wteZRPZAUr1s/O9uAVsFD0sJmR8//y
ff/3DOdFPdPmyrA8cK7fvm5iTB3lgkfBxzZ1dphrQUII1vvLVfHf/vv2Ko5+w6bfMObf3prRh0XT
Vg07CdxLmv7OUYZ+/vDkP+rET8/tt46ka6txSNLGWVgJTlXXunfUQx9frfAu9pDEK3PLwb0NXfs+
NKZ9kJykmt/E54lNotAF2OUjbNxirM1Mz4PpzvtMIQiDODIOYM7hOBNPqAbkyp2JW2BgV2tPBKAP
0Nxroj3gatjlqWskkG511jmknusJzYlj47zYyNst4ch+xHx7N0km6e2ja8d7gR2iRWUmsOdWX+V4
soyEIuiTUAa+HbySSEpq6TSM5a6lBh0ZXySQGHMZoC7eQl7hMs5WmnnK3G4Ga42FQ4W6961lXHS3
LH/ObiyBT97fgCN07XXWblv8rmpa2ggvW5YbGhAmMRh71bwODl3PMP6377WLKkajx6QSdGw+bNTW
ww8LBRsW4DrHtqD4+wILuwfOkxtIk0haTnTo/1F2XkuSK1eW/ZW2+zxgA3DItiYfQiC0Tv0Ci1TQ
WuPrZ6GGM7xVpLGmHy6NZSkiA0C4Hz9n77VTDQgPNj5Ey8pj7qEDvEnpPXc5iOPl9OYm/mITuTcI
vfJSxfxxNQqGY2d/xhbDhplkgfIkn7YnqXqXo72F8N1ECwyiQ3NQPNy3JVfiRW0PJWRN+6HoP1GS
B/op4MLE3YbA6AXMt7mOTibflWIp8FGJDcoOM7m4xVzmqroz89OPF658tWRCqJiL0097ov+ooYNT
uR+AytHVg8SQZHZ/bH0b+Fm0NOlpKCemXIPluMHabe9FHCxiCKTDl9A2IidZG8vlCZoPVpyKMZq/
GCAgBjlS3reR1ncscHfffG2Tt6BNlqyfKsaVhGs9n2TB7VJ96uSrx/dHM+UpRNFif2Xqe5IAmEOt
56D7ktuY6+0EWGr4nfmS1FNgtlUxL+KLa18KaOxk7Ibmk6s7dFZRdwXQaWDWScOhx2NmLWmtKfke
N1dkvaT5q4FjraKeiS5lv8ImKdDf+6ces2TBTKSEnHfPm5s8aFtINpsRClBKStjUw0RSaQVAIh8S
8WAN6053cvSBer6uJM7kyr5pXrvhXEhbWTkLleTXuWauaO7lZIKp4ykfz2H3jTNCNnAdkKGw83S6
R8F5OjXA8k5Kh0nOLIieRpDp92JolgYBnIzbiTUBw6Is9D0YKeghJyV89ppDnu9kxLkVvfSVpyOB
J/CP6luba/JxJEjZfkzqdYm3Z6iWWXVA1woB5DWX34rqJsZlE1yHCpkrtSoU11cNGQ84gSRYMQ+3
QrrT3dTrWGrvARcmBQ9UhvA6w9lExVarJdZhy95q2If68Fl3IR0gYe8xcH9BFcB+j08r3IzD3Avk
U6N9auqx5lwAprzzPzoSQKNNrm4s6ZAO0bLJW+g9oJgm5znuH19yhuG9wyVNsy1AWkMM78x7zTJc
pETa2uYZnFEVb/FrZC9JcI30xhHIXzmgvoU5LgG216yVmJOCd+AEFuCi0+oSj7Y+aaN+19xVpsX8
15WYMwEtZLonJnXEzwVim5XuUISsxJoUX5sCwjztw2EmBtJlUeLtjC76kIdgFSUqwQee/Dj2v9vV
/kXYlibQT1Oeso8q4tdtzbRycqMGiuIkJzVDVuR+kRcuE6c20pxGNx601uXzYUgJ5xY+u0URO+MA
5EOMr1CzYALaKdJiiShWzRiKuapgYtDpYLYE2GsD060gai+BZR/0AoSx3N1kBUBgzyzy3KZufwhC
4zcN5n+uRnhLdL8MzknoeoxfLquorQo8fYKhtAwxxQRH8guPUY4GdgRr+5v9VP/dq/1yqug59gVm
G8JIjnmugpGU16aqNIeJFW0T3T1jt4RqhSFapQKDeI5ltA89ogyLg/DrZ9ilSz2xjqpNPGQluZdI
6x+9Tr6ogYeJXq6cRlUFwCQROG7dfjUIPBALMwsbaPpkhnLpBmVHI4M9MCQMjiXQ1CVzoyQCVdyE
6m5CmfIIK3LrhdAg5WyLeuOZOuPu1v6rQVQeQpaIuYzPRBXzq+kMFdt6ar5apZlvur4dF26WFYuw
H4+tHVi47OVNEWWbSv1tKUlZ+C8+FSa6PWWq8IRlT4XYn4rJPuTW2tFoUgGgxmltKi0SkRlP1jB3
EfB1DM0hz0mcjkafbTT5CtvkSSDJa2ljM7hiBm5b67hiAl+Pn5JSvIaK9Zg3wWtVFicfEWZQ+ysv
9PYQyfJZg7S0NgHu+QWs3YDxFHor943CJ2/UOVD2le0i4K/MWw4AjFn8W5PA0zAjcDXFdXTZIA4N
eAVMNyn1hDeyPXsQggH6mzXO1gRaE/iBNhwgQuHbAqCTvHeEaOg9vmcNklfIdp+Z5a6ue1AyGs8P
Xg/pNkQ4xvP6K+BlIby+tnV1kJm/4eYeho+2aOd9BbZAn0oZIj1JpTYtn8oKDBQHzThnfKAgVizx
PtiNfPEloggUwhAwF7caA3tjV0gjnJKIt2vtRw/qqgmcGlEuYCj81rjH0MKYN8PjShK20cYUbREZ
pEhlC7fCKXVkBeB3kyKeX5om24QMokc0Yt2b5DbflWk5Xltv8yhZD0jOGnfcxBiiOEvMR7W41rzt
Aoef5svTQPmkic+iC5dtri9Br69EZCxqOTsrmKcEQ6+0uY61BJeuAuccRYxb82M6yNAoxLK2/J3q
AaDC6CVQGP77mvlftp0tOtscZjHC0Zz/+ZFsXRbnJJh4skqekdXQfKl5fGF8cLEKem6yTa6Knlzb
ehiXaAM8RrPxNio05TeTix+ymV93DMuiYShMWkI0hH/+Q6RoNPQ6MabFRgcpokwArZrA3KIJAMPU
BWTNlCS4QYoPoz/cCi/5DhrrKA39ue087Tdr37S0/dNfYxumoZscTY1fJ16cU+pC5+u0iClG06Dc
eYN3dv36Kw/zi14Dnvf707+/F+o/r7c8H4YMTsOeFgfjl0uA9CS1QHtZC1ex35OI3ruCPiN3elLC
OpC2fNjSs65ZTwOUmmoSX8vKTTULUMLazrSaEwKVr9JtNhQrqwHI9IBaEagb7ExpmdtQaLIRFXLS
voCW2vz7P/5H6tXPV+ynP978ZSRpSm5YVDLRlq1TbrR5fYPkLykAL4n0nZN6sSHgfiXRGsrv3bP5
P396fnr1Xx9j18LkpNS8unbJ9/JcmjXo62fRKtok5+7mL3/3gv/yVlmaPLUGdNbz6et/Wsl1ya/x
VEj2YqJb0x1FK9ktk146hHm8+vdXVhX/Imqcd/enV/tl22fQNiQJTXOoCd0qCUZn9B9jWJShJjmc
VqXoe+Cux2P60BhNMjdM9Oya/kp7dFd2zTbo9mALgIDOLGJEAkOcXJeU4/yLoN+CSQJx4gtdRgit
YWYm78hgrAtPw2f3GLSbwh2MI7bYiDUNY0CbI2D2TpiDkFF1ZIgnqQqNGU0qFHIaPGWR7zJZW5Jf
BU3KxB0zxQnEbNMvvg+BCYWvbXxHcAwGD/WwGZ586ir8koyyZ3aMEMe9doF1HskhUkGfesGGRAV0
5yQsZyjsokVRGTOXgwHD772XPBZZvUQyixN2B9WVWcZjU5A+1iCspE7rP5P8JcGcq+RXoT2knPKo
C1B4bFqeTtknuqtBjgp/MaAMxKVxwwZUF6+phevJvMYwWWrj3hE94XnPQF+K7hAbFIOhwJTTTaYk
A05XYXCNlavdfYTaxtIhsizL0XZaxDweAyDvMhXzZjK5F2hGUr33D+7IX1E81PlnwKEpF4mjRSjD
XnolnRXa55C/qT1YaZwKUPMyj32Kt2gSMpZ9ZNWX6nX003zHbnexuS9qf05C7FLL1nK4NVsOGZPu
KtWWPlMr9PSGupLr9xrfc9mgqfOYi6dH4pkXmn7pxnclu4v6TdKOBaSHoEORXX+5RNabBSgryM4E
UpSCGZK4RqimGgO7oaptNIuwBP8ydt1xhIAtT5nbPBwTb59c81ktW+tueucaMImYs1GyhNs9AeX0
kU4Cd8w1XzhvqROHW27nnvteAJINQaE2Pht3cx+V776IDjYYoAFlk28lnLwBltRYkadtXjNIsYl2
YvSBjrTLprCcCAUQI+JlUMYPSp9wJq22ur7PoC4Q5TBjWCq3FZ8QTM7qU0UPygSYqtaHplta3R3G
g3DnWurN6ykIagI0UfsDrfO2A05dqN+RzdeZxfGnYeBZjLbJfxAdpjSz1Zi8m+2zgi+wpbAZkFAz
VhDdt+j3nv4R9LAnL4o7r8ONhUNM98dlqK7Abuka7jO6LRls5ciEmgbax0v2cuuuAvOkJdAig7lm
jLOeGCWbMIj6ReGTjJHZRyHZgmsP22+5F7AWISDhZCdTPFYhBL3b2boUZwn9pYXKeoxQQxNWN0jU
jqtGfdcM5n+U8vRh9cugOOO4NvKnsHeEwDyjEMPD2GInTWtM8dDLzyY1a+sddSpVFOwn1/sEZj4T
5Oh2sLQltzoLnl6JZk2LGUCOEMg3kG0EnBuoDy6Urk7eeOPV0+6DhOoxeIldLgRILVlA/1IEzPnh
kUgHU34bPAwa1XNu1GdzrGa5Om69kFlmTojDNu4WWNvMNie3Qv5WTfM9jrvJWTjpVzW6w250aDPc
pLI2fvHkxozLJR1vRlYuEvWgDvFi1MTVMl+aGm8Vla67j2pmQSa3bKNk+zrAvby2mwf6N14EIiud
RxWk5W7uKYe02+Ue+fDsrJSjdc36Mm/DZYdWGoe59g5Cto7lVZl1WAn2fbQysVjR/zMBTWIp5kmq
tXe5/rDzi4k7OgCu5vkw8tCo8SNRex9DribOq1jDHRWw5jmyssv7m5YSzSTdwFgvgvwjDhhX5AvD
O5jNIVIIujvXGVPfFqyVNW8IGtLVxUSE9uk62KCmy8+ywx3nAQs7WNHHEG1t5ZjFR0WA4NdpZq4K
upAq61nNg6vwKpJ1sNttzAZqXzKc03Z3bBjKtpjRFfegTiF6X32/Lc0NTEctu0fDwUQqr5IUT7Gv
PY88cEQwwW6doPf+oK2E3sxr/QXJbZNe65jWVRDoSx0+nqBzVYfqXPPfJ+tYFz76nrYyImMrm3Q1
XzpkhT7QCoV3FCHyHjRALemyxnGa46XKLHc7pN+tby+1oYDnAxEPbZRMnKK3CCV3gd8Cd2t0CfEW
i5ZdCEWFHu9s4dE6QwvUkxdAKsdSDJuaiL0gXGZ0A8K2mZnSWbM+usaCTjk9ysexX/odZnFGSwa0
eBs2cfzqQSmQviUIXGHyPNintDjrLKPlY8CzMn1cOYMq1Yqmkymg3OLq+WjtTWUfxXjLOkwzZrZI
sT9Y+NLkfh8G3yXobGWTFXvkGHxcNwPHCsSMCcarYBAzdVhK1WoIfahdGzd0YQBzZRr97gMSiPCu
NYQULLBmuQT9UXjjy5dmae+txfBVk3gWNCKCudE9KTx1CsfuJCJioSyg3sbkLnnlGnsehrkR68bn
mK+NqEO2XO9VQC1yiPHA47xcJ06iRlDe4cFcMyuYV/5nEz8miGz9T9IguL3noD90of5E6PouLeCW
j/HChv+Qt95SgBoneIxovPLm15coehtIN1W9EaE5BZzuOkXnjC5rNJLynNZXWcLElt+SYVzVLN+Y
A5bNhGdR+V3ZPU/ws8XykvictU2vzFfo54G3cauW5izOQlsOXoqB5iKbVDlZhlV1Vg7RHDcDsm5k
6n63h2+7I9hKbte4J4V9cTvQaiORU+BaOOrKuJY8BLWV1TtVXJ0isjWS+NoDLkWDy637iOl5BPfa
5xlrHuC1grW5t/K98nOnaKI1IvaFMPyry/retujK6ddqRIRZbx1daUnmVi8C9aoQv0AKqnoOc6zz
i0z6ghOEYxp1BB1OnDz2Cixhqe8UhL6RgwuCUUHZ3aMcFw18fccWizxammoOpW6Tw+zhIdcBd6Ds
x9n87hdPlfkJOyrQTok+j9Qdn25ol4XLOrPwYGmHNRrsfVCfUmMnwbDNx3UHnrKq54hURPsiG3vV
eizdO5LjNEIb5aDeJFSPP/C5MbYsjKN5hfempUcaf7MQLXf3mFcgOdrHTNnYA7me6S2OTjpm8Igq
wamkJ6xSbMl6Ay/zrGoPhoKXe8vHgvovUB03WuUECo8qDNa9Vaw1ayPLxzQh6ld79fl8yA9KhmuJ
988uv8z0RWC+l2jDvWzp2Ss1cQbCE8S2lujDAiD0HdQRdQZkwJ+Z+M7jZzhssf4SI1YuzcuAC0pd
ufWmA4M4HlX1SWERyQgMyWEBdtWTKBdFsMmxwJnqsXOfRbNyi2MrHkV3jmpHGs+kG1YJJjoZgiaZ
Zl+qeI3jjQUMhQJI/+LxFuAzJhQmC1mNM4uAGsN4FgYAx/bW42mF3kPM/XiQAHCnqKVO+GmzB14S
qEnOQsxAomg3zBVkotoGcuuRX5M1m8LUxXB1sIBq2HM+g6Eyxw4VUQfUR3zeLsUC2k2KuHJcw2rt
tLXQnht1DYYu9blVm7r/9oMlhdgU2FEq9ODsV8Mg5LF5rd2tl+z06gK/v9bWAU2NBjrvrMKFAFyM
ZtCBT9OQ7xH/0GeWVF5h4VcUQbuo2gLeEhKc1A3Ls/QcwgTIpE+3W+rj0S3f5OEVXAFJAo3YS/rO
6G+gCkJY8jXA4zXt/TjaVuFCBRTrOZWMq/odmxJVQ//WjTdFELFJqhGP1i6P3xixxPHK/Wp4qOBo
Ae/NVGrzi9K+AsQYrI1FlGF7qcKtNU3uwDBp8H4Y+Tiu7cT+S0T3IdwMlDUCoGQFMWWpfA7kMkbP
k8Wg2mdop2x5N0nE2vgJWhe7JaD/ppwPOq6NY87IYdiPk4dhScFuZSB8Z0CvJG5ZB8BswQbv49gT
BhjiFxt6lLvX4LFpNJvc6fTFqSgF31/1xXcFhNnXu5ewU3aj519TczgrRUwCm/3Mh7/DIhKRZGnM
jQZ0CBUgi1fi9OQsEcrp70luMWH02gtgBKH14BU3K3B4F7Kyzodd10EUhCm1ldUL2J/KnOGinA3q
CuqoRsOXfuKjphF5thwCvBcRwQYUCchpu9opjUvSATfPlri9ptAMC8AkK07M+KafRxSJbX6Mh40+
DRx37uAoBOvQNezmQ0lvjfEYCVkgRBjGjqcSMymXF5VUQKJM39/kceUDZOPPyGduYYE/nqF+J+yq
uuQF5Bj3Uk9xTAuDzMe4vqjpKtAvWGA9b5lI25SBEVel0hgUctvvEuah2n6vxVM4xRLtqJcz+7XP
LmR1zdQYzwnodW4hOCVvprX7H0ldAVAGTOVPZvhIkmTApzQ7mXwqyduRIV0UwHj7HSs9KMipBJal
S+cvLOOQF49ZehCcl+Oj6xNwGn0mWI0KsLr5IQnIpzgX0baTT6K4gPi3eEX3QXNJlAU/vg75lEkP
KWRwg3BDQtIabx9azETxwnfPFgNrEC3sBl49h57YtI7RTGiGEdqanuzdkf9T6M8tARPDEoKNsABb
skrAtyMzFfsU6JNuh+eAA39SbhI+5NxleLNycfPJGkue4BxBcrYgH9QXAwJyhHl3ySeECqQjZs/g
P56Tot5azcKDkdusGVgBFm8G4Jkc27J2XVC8gQDPV/hsdNg1KFqSdeE+6x4P1pKsTzomkGwkee8R
9axiZMMCtrIZBsPa/ijFMYNgCcwBJCrReByHZ3V1tjmTmQ7j5i7e9eSMhQdi/mYRCKltVy378imN
P+0O9+iy669F5fj2ll2fLBaC01bGcNEws4EYGF4kcPYWLMkXEDRkNNjdWhabwH7syRFV93p31xGy
ZArYcyzK0XTfWNmS6NDZPNnZ1lAfDJszwnnECEKDV3pTtL0ePGrZjU2GlMyQN8Q2U1JGvwv659Bk
+madS6cqOOnFhV4JHQiIkT1xkVR15RxxINO6ud/cAqRcFrG6GrPKeWIezHKbmweLybpq7tLkRY8c
RlMy9k2F8nhVW2sLsUEjnxjjUsJp0aSTwrKExMnxoaoyzu7ts2Z81CFL/NkCEGZZE5C20x5Mbdkz
XgmS9xL+pL4jfTBJSCF2XO2l7W/ET6r9ZYAs3a6tbFopMsVReGrK9I1uR9Vtcb1x/7XiiOxxBtKH
6CWwMUP/Hif7eHhVkAAEn8HwRsFeJMdseob3crQtwezSc0bimWtr1AhKBbuNtUp3hnKrFc/dsJAZ
f+ecjGKnqp6CYItbLjM2obUDqwNIRXXXo7KFG0PKmiOUuaAGQq7X2hQ5b673anKkH1905ea6SzKc
6m4dwNyF++cr7666ajmddGRxL/R+20qbnnRPawNChr/Izl8qY9caV1N6HfyPKtoTNMPB2EdSqBxN
1em4PBgBZWC0nMq3WGREcxzFQu1XnFjK99LfE+yrYYnTFuVtGE8Ya4ENNL2T+j4k1FutXxPTMWIO
dGhOQLpn97bZhPZmSI62/oYYgUKpNo+l8pIZB5U08pGGB3NH74FHnfQIlRWH5GeyDq+J7si0iNUJ
+RrkQKzXWfEk6CxVPAuK90YHxvePnQ51J1vUCWM3RpUVusZEWUiKtrF5/vE7pkRCZCVH1wltvkKi
nGHJAk1vuK+GdurkbceLmOM2tsFfksCHLrp/jGxHa588fZea7438KPqdmd27muQ6u2PUMh+NVduf
NJfo9OAxM75ZDyjyReuYMMuz4dZwvjflEzHrnfYCrmGr9xi8oDOkVNcElPSPqrRXGZep9Vx69jpK
l42nPFb1e+LdfM4JoC2L5BYlWKCfambqPYLqU2sz6BdQrxlL6YKGEg9mdWQnsLwFUDAmX1XzFQ4w
bddRvvS0NcJzaLBQTWZVdyWoyO52Gkzi8WUEPp0xM1YBE8BUzY2VZK9rnYIjpnHDszSw+KA/U1tM
P9dWfSVlaoTF5YXHUXNcDsQpTct5weFc5Y4U+oYkAomOE/q1Ed6ihRwlwGu9q6xgiReyqb/ikFhH
sCBwfDCuH9zxo8P2aqBHXYXxxq13BHqN0bkPn+IBIUZ49PIPbVwnDJ0a/73pv5VRmcsFzi3ygh58
mI+IF0nAIoJqZDvQkWISSbEXwS4xFjYee3WV9MyvljjdbbC/ucsh/AT0iz2y049kb7XurMj3XXzR
WijDiwn6BM9Qpk5Wy6uVLGitddkONG0fnRipkxqN61UKIljwJ6jxPsHeMKrQekrhsue54kRTrQJC
ieG6+esUHLsBpkEGifXoJVuzOXqCTWjlErIdrDAbutUjSQtG8VlWL6H+GSRsH4S8LJR2ZymvlXfp
6JsMyVKjF0AuTlZcEiKjpBgQ4TddeQ7xKw/CZldsx36bha+cMDguj8ap9ndVdraas+dtM29lM03X
NXB9C1QLIn3KkPfSRVqYZGpCF9E0CF8s5NFzwYNvOoWxKy0stEAlV2G7zM31WGkzL9oSc4jd00zQ
ZKxSawmhC50TKM6VEYYzJCc6nv1tUj7YPIdAsqYrVQ/b3u5nRFbUaD6aZ9KGbgBINnK2FHSKKYbi
Cev7pKp3nf6ieKiNLdtljHYmcoitNPDworYuHCtf+cFqzMHNzz15M4AFqOm37OphV6pntCH0cLyY
BEbwnDuZJAK6vuEGQEcGslU6g21wSc3kxIwQUGTsYPQP67XdUgHxQXk3pZqH4iJhutaK967dm/qh
jhw8dUXBEYN0gTXD31psUp/VhEcSNJ6JBsAqjxqpABrsbibLFpwVvBZp/Ki2ToSJvDK+gyyjXOWA
sZakvaYV81TdqtahVNY6ncfOkdMTnZyJPNOwNpF91gSbpHqJkvISeijtvBfFvWpchzR4TJp9kq09
gad2JK/iFHgXvz3XCJJ/AAfB1TbfMiWUN674/MssyXZ+sirAT07vLRSF1ocybzlz5WeXgrRdhM02
ZgMGNxOa28I4av2kgLs1EVHJ+RZ+Vx7+aNh04S32kIDRm82tg5xwpP9qG77v1QKOmtaPKTjjTMMf
Iu8Sl1WDvYYsVA9taUqbu0QMaPvfsvLojkcAFFHHuJ3089jy4TZZiyzwl4rXbDr51gQ3pSGzCjtS
GX41BTZSLzvGTXv06WdMIaCQ0cYItAswV7jvqnIQpBQU3xRcTE78+pVABoSRCOvmY/qpxjlBJQ79
f0XemPVHooYwJ1nbGlK1SNCaS2xY7rNXnWX12usvQr00tYcMbJylnA6limUSWVftgEBNgzdvir6U
dopoH91AHLrgpS6ITTyX9Y1g8iL4rs1rDTKUDqHa3XvjixznH9sbPHgNcaONksDHHwj6filnD155
iKvPwr6zMAzERACqw/ilOZZHouFZjLxY6uRwAcUD6AHw+8HAtPZdUvZhGYA25MiDNwLMpt7TOjoF
HORzwdTmi/JiGWULU/0m+6rjtCMJHMQSbqC3lnGCH54VQnlw1ax7/Str3XtRwXZgR8yGjWz4xyjT
VjlBAiq92JjdQ/YqGJTUMJ7bvgw9mUKeKF48Kb/LuMShqPrHwDwGIV0mn0aKP3avaD7OuJrZyRXj
nKicG9QS3UM317rQmuttQKNIb4FQVxAIqzV2FaoLbUe36tbUn1KlbyTZf/dM88G3CqJpek4y4L28
3r15wR0l2Ax7nia+/Ry8zkEhScoFokrm5s41SfhViRUc+vQpqXD6B89a/WZV3SxR1kqSr2q8/UEW
kb9g03NQjFXBEtG37OYt3GSsnA6Uyl5F6CGlx85/RApvmEDay6tK/hOqxUMYxvwgqk3XA1VonSmm
AUIyklPopLnlumguHjuvXMChDs5GO27awZv0VkBv9j1w8TAltsFcRcZlpKcPV3PW+vt86FHmWUzF
OUgq3jZQAbdIEs+jXxcOmhdt3ksw/lyNfaMdpBfF0/Z1qO9UKNPzUSFoJp7agpKlMleyczK2ofSX
hzZSLkZOy6dDoWegG21R6QiB+ilpWS5K0IwAmTZJjhSQch5Wm859RnSzamXrOYzpEEsW4QftMpV0
9tNyQZ7BOsmpyiufgMuKNZR8DCntmSLl7BVsQzr64lKDmoR7v6APMEEderx+LdmqmlRPlD7v09J9
CI5l9iDhQmT6GEJFhpEHlpyTSJ+G5Tpq0IiGiFTUSLBYNgzW7BH6w0iqWcnJzs7olLaEf7XPMmrB
uob1HRMAr4XjlxrEMJpN9LeFb57cxr2ZXQq5xDeHdVmCD+Zk4iNRlW6q2u3q3O6hStIEj2B8q4Wq
zCPmooucGxfxLChts7NL4FcNp279ViGs8SOOtOZcTr94RudJDcpdAeiD0VBIlDouakSl3UoCSVBX
PAvv20L/Mf9foeHyZkyE4wqyah8eqL5sL2N1b+wHmBo/hu3/+dH/l/eVnf+PYKH623/z748sH8oA
B98v//zbIfgAnJR91/89/dj/+7aff+hvp/wrJcrk66s+3PNfv/OnH+T3//31F/f6/tM/limRscOl
+SqH61fVxPWPF+Evnb7z//eL//H147c8DPnXX//4yBrgRvw2L8jSP/7+pc3nX/8wkCj8559//d+/
drwn/Njyo7l/ZuWvP/B1r+q//iGZ+l/wgiA4VHUxaYUmZUr39eNLtvoXHGf4rCwLoboi22ju0wzD
3F//UP6C0k1MaB6MDJqwUS1UWTN9RdL/ImM1mOz4IHQ0mcDhP/7vn/bTPfrHPfuPtEnOWZDW1V//
mGT9/5Ce6DAETNnkf5DqyOSoyL9omHqbdOt2TGxQ7f3BT5nbKP39T1fj7y/555f4We8xvQQ2VUH4
p6kYwtZ/SCX/pPfwbMnIZYEyIKvUx5Iq0WzRB9Z+/GgEzW8EH5PM5+e3Y+NGxGdv6xjZbO0XJc0/
DIlu0rtbPq7I2KyiHu7t4KJx/+E0DGOfKtOOPIOdvwykp3//dn+x9fF+LWyESHcnJRJaxR+KlD+9
X6WqJFIZdHmhz3oxd1flOV4Aer8WH5wLP9Cn00d/RzP771/2n67yj1cFO4GylKdG/eWdjz0CRdfG
ipmak3zBzyxaCeXKyr0jpnbrf/xqRHdbJs+uglRZEb+oMYc4aySjqMdlWW2TAdEUTcrCiZLfKKN+
lpJx8dAfW7oMqkMH6oLE7mepEC1QSzJ6bJluTwROjSri6muknBY0b2eS8i17UJ8ViVnGby6m+HG9
/vQk6aaOndWw4VSphtANXf35pWsrKUwA696yF3G/0UWtodKI6gied9+kt3GIx09dAQEJQTdcZGau
n0pN48EeOzyviCU7OO5ZPLbkSrd9MAetADZQZDaVgsw4dY6wvXquSjVcGlIef1rkNjMwaUKaY4rQ
oKqUfWLDALNFGoL/EeLdqL3oISU37yOoRn1lilq9WoU5Poapp+zSzCWmpxcZpi87q8pzMHjdcwSP
HseNWT2XLmkNnWlx5I+VLvuQ8s7lfBxopOpphRD2vCbzuKDL4/mc4hSw4qaUpzcL5i+bbCHiT/T5
NNNbTxl3nqSQ3hh27rFyc+VdqwCZDZUI71ZuaY9qqA/XOhcCsw58rxkcOPs6CI1UD9mli+UJeZVr
hrJpg6B/zopI2w+ulZ0q0vRWjet7S0MU1ncx9ATYuVyAmZxyned2l7qniQj44iPQP5SJJ+27iFi9
NFJCx1KsHEScPXlPKr9Mp4B3JmejWV9qYhq1tdkwaVPSzmQsyqvLcwhL1s0jG3lFXo5C+i8F52cR
i1LeaXpOM1SVY8ezfdwhalUeG2qW90qnPaw1ETmQ+B4PphQVu0xyxWMTTw633KwGpxM+GbS5CMTC
yPGtXqROreaI/ZW03oCXGKt5o2pVTgZAUxImJEc+VnJ4WIrbv0ZixGTLsLqva3evusK4I7b0xIvq
6Sjbl7FZk3KVBDadnFT4+CkShRGQz2ER/QjOJQW6cuB92EqTv8mSTHxLUImO3ktu6F91MxZ38I9a
OC973T1CrgueBFoCyHQW4RZxBEoBSV5rrw2em4XKiu3UcqXA3c7kZRl3DGET8NxjJdQD9HEwErpZ
bWJv9Ja+qnlbP2fSarll9GBoanVXfByieQX83FQ4S+gFZ4F2IL3T1en5uIbRXOwWl2RbmOULGc3K
zjdtFNueVLmOPurhRZgkxrbDh6bjg9j0IHHedKuir9sXzDXMtqfPbHcCRFNg8zabIDJfG7VSHHgC
1q43PXrNhWSJReEFBNEYOIBSNYYpF1nVutH62oFE1+1FPCXXYCqdNQbuHCWWcP0HdvIm/DJbBZSz
n5VdD7cqVJGSBFLNVNfqsmKTNLhax36sHTNANOD69FgJdGwewj7rGOBzOeIocJ+SyFV30D/FvMy7
cp+qFpk/ftmMD2Cd8/cefTg50aaGUHBg147IUhbDbmi8KTcyl0eIwtWQOOb/5ug8lhvXoSD6Raxi
DltLoqIlOYcNy2mYAIIEM7/+Hb39eGYskcAN3aepDHbNSPJfOdvyUUieM7pMCyucEbgv5mA57xqt
/qkpQxCLZUCECxLpDLNPXgdH0r+s56HlD0AjHdQz7mdrKwO/f3H8rjgF2g4OgpfjUQ1m+9jlsOru
nFTM17FSjBIwL5+zLGrTlXBDVDV80Sc5NOUpaxd54K3iAXZTmibTH8BvzF17ETY5lUGWL4c8q4DD
4Cjwh7s+qVvFvDQzPgdti8tw+9f9IRTrPmCxP9oWO960xXycT9bOlYb7NpZF+tGU7XBfGeYMTroj
Owhk+0ieti8/9BDoiOhGj6lKkjn+0UzIleCrHbaqIuvGoqIF70v+R1+WYFOtvhJk9hhMK6w0qRGi
mAo9mAn08rEsI82eyZvMD29xHLLowuqUScN7FsAK9yP92q+Gn0XxHTqAK/liHlUri9ekrFjnVCGL
xTLJMA8GLLi/hSfZe2eJCmLATUQqL5N7MnMTdZ2TTxCNs9T7HlyiPkZv5s6Z2vqekqq9ahcSMK4b
BTmvWoxnzYtwlMOUnsrBH15gqpGc0Fp4uxp7QTXs3gSRIDbFsyn4o9xDJBhErvTfXKYHNoS/tUw9
JpJCdk99MJogL/LoiG6RTV/LacGYU9rdLte3kbwl5QHA4dTtQp1O5Fb+v021up5MYjFx4Y+2RJEw
35oeWZt3kOqJLBJ2T/4zakO2moY2AgLv0EVAVsy/+0Vh9bSEZx3qOhxfO6uaLlarb4t0EtegKEZW
ffbbcJjvRBUEP14o5JV8KVbwYW8oZysLjxGHNTOUKZI2IMMzrJ7yNnQZNI3G2fB75PfBKEh7HUto
lklCvLh3E381Wdg6NF+GsY1GH9JIljZ8GDdfnsc9PyIgZ93TW3FSFVC/xYjv1XKymgGPqdgKl+oc
5WzOuIWzRxgSw4HWCt1/NNXQR/3hL6qs/mm2brusYvLp2eYcgkHDBKoZ1VUngfM8FCp9SDsIu35q
l5dGpuUroTWIXYj5YHvKUySnEW1j3rYPQ9jJ58GccJvOUGaXYeYdXqyufrPp77+WG1dnHH2ySMu8
mb7DDj2KbgJo3aFhAOmtSqb4Qo/4Y0aThS/QNE98+TK8pHBmifu9uqB4LagNJohX338cXHPVwqkc
ox0ugzgsyM/GVSg4wNHx+uUn/GbKLhvlK2QOxm5NfjD7e4bUi2uvqu4xQCJav9rkiQ7GySku7AMr
9xS118l+NcWzbW7a6QqMzpx/y+ZpMmM/X1f9sUrZzgG6I88mNQij+aidl7T9axjPdjm7KTrqqysO
RgUsniWidfIsgplRjvM+bkf/WxVfDWmnzO7JyBnJs8N5zm7B3Fg+S+002ZTetfX+9QXhnFuP4Cd+
FHo5shjyDgi4Kwm46VaN42/JmmeHy/B22lUSMCHX/LqKAuLJOZnOY+s8GFDi84YsN0c8mGTDZIJh
mclqhMA1Z12g4w1uuHKcxC7J0WQMd4kknmqVFoc2HTaKACFzOhS2tQmhJzRs3Wybl1NrPl9C6V/E
jT3jE3hJskh07guA1QMSK7TP3UQEEkurZDR+FpJh72rrL0MeymX6Z7NL55ljPpZsUpv9+XdSPnN8
D5Rw/HXQmVnQBsT3RgbIwnE4Jp11zRH12oww/Oq9zrCRlv290+n7Cddzj07Igkk8ggjva34HlyPq
3hzLJxnm6ww5rc2XpU3EeuQM25Y4zQYDWc08pxWPEaOebmwfQMzyAo4XThCUK9gHB2KeUUA1DE7n
pj/RmCCp+ZR5+yxJHitCZlMu5kosmkvyqgtGgfOkTykSzCn7J8C8Vx1bW4q6YCq2aJdsfOVL6TwJ
4rcibP4CJRKJgmuPoMs5Kra2aa8N1cS1/C70NZWvFvWBaDEa999Uo+jsf/tbzKbatIRaqI7VmD3/
uSXmnUtGulxAYkAApcgV+tCzryvSm5MVlqjl7xNv6bB0nVMltqLhCqnI1FXO2h262CqmB4ZICQ97
TrhYiIAk3+fpvIek92xJJjkFb6OTN9e5RtRaGWwnjxIe/GJIpr8kzXneuk6M7SS88d7lahIprJ+2
/MkaUtFI5kqLYn+bPzc4v5OFiSX7qTy6WhFbnwhUooWdEMVK/dDixzbhX3rTLSHFu/PhKxXgQBRx
zq4OzguadodkZN/jbAThWddfEc1HCXHZnJAr2civhosi87PMhyv/ZeTMb3nxG5i/Uy62FqpHMNjx
iMppAWk9cEuIiRgZgooXdgLOjWDZsh63s0vmatQ7hkvAMjoA3W3sdNh6U0usbXnnuPM6Zynm3OQ8
6YuZULQvTPIAiJmIGPxw2I3Gk55ZdaD/phCAlUu+Y/VMAYVOVpHquEOdsgtMwoURYyzZThHjaell
63C15VDeC+ZgQWLxIR/K7G+xzh0S7zJc59m/Pn8NgoOEWtnzbdrHukAAg7KwRGz72goUaUnc+puo
4oz8gD4dK4CYdI8sZMzHKB3XYYhyvTPhomTzKYATLvB5j6n93AUyhv1zB/7GdjEkI4mtk2YjEaxV
/rTStyOEcG2neY3GB5vnLSvESjoFc86HZniW3euUw6Tzog2WKtTWZBa44pTZ1q5BoynLdmUP6NEE
PCgKf7qNTTto9K2Gvp9lqePIRBhkT2Fc+7iF2Sw27TXV5FrxHymsvzS9+EG+Viz5etbgM60W5SWW
xH8QSu5C86jNNyt8iHBsez3rzIGn9Tc0TwjbPCf21f2Ixr0h8genAygFH+F1XWwSvPy2la6RgWZM
ohOTtOf3EHfBQltLThvY4ngKrtSwu16+Dw65k4dkesWUsbGqhyn/bNS+wjMDEnotGwah7xXy2xLn
+lhcmuhYRruUQ4LGvPSOBZtpu1kj4Lio8FL4z3Y3nxrz0RQfCuG4mR3T6ml26ChGrIBdiSad5zsY
8Umy2kVH46CqNBL4VWSKaw5lZXEjevwiGtwWyFQ27ZscM58f6nVG49MPd37xUQXWKgIoFmHssyXZ
JelZCHX0Ub/PxLdKMpqCmiA81np+FqyS/CnInlPxGFiPZLMo8dey8WrpADw+nimvblE/KxWdA+PV
6LjyLX3MrOcRkplRmZcm+x2dP6qVFTxUnJ2cIN2zhTWnSl+a4Z+WpwC8s1YwDjCv1tFz7+VHgMiQ
1t6Ffk3sPi6ie9MxDi5Vz9B4+BXR+GR2LJdw1ZFGBPB854Joi/TD7JKkFGRPLqqoGoX5bSYfpT+V
PE6Rt8dNdDeJZ4H0hK20lZPhAMiA13aqYUK3FdpmVIoE1UztT5OGIPXRWmusCgga2uk3q0far68F
BcySnXDym0B8x/lHmrs0uSlX0WayH6mAc/bm10I7VnNEKDNAGxetPITnroeDy4MqFa5kVG4dQE03
QY4RXhvQzqllxW1lbysKXwmqvsrRaSr3Kls4N7fF+j6xiALnu/axlYbB3xRh4Hw3x/AgOBOVvZ9A
+6vF2SThv1xjo1UvIMnc8G9MvhVqBppx9OgemKR7BovNFL4M1meGdmQkARTxX7I4aDoD9sfPnnoj
ZgSd+7wmDIJId7W1CmattBb5hASTvmL87f1/NxgzehI7+ZrAb/jMCu1/NWHLJjHTAZhiKTHS8iAG
6cUW8yaoCenrvDsDfgX88kOWvxbht3YA7+FNtogXsnBk9aa7YpXAF13djhzixzysyezl04TMhH9p
7sWD8ZzJG5wRs5fx66rPpHiUA0pyWDkG3gdH7EKWaS5aODKP44rweHdXZBYaKcQwzs5oPhokcMX0
0nVoyulc/JbitYf24xA7THsXxD06VUUhKr0fMyDt87RMCDKJsZqidFNa1Er8dzKCMu7tClse5/Vi
fgTeT6jpaolKTThAbI6lnPWF6h8JfzBaFpw9Ge6+ph6dWhw/BdyjW8FixRGjtbR5LEzmP1r6D7cW
rKEzatgNGkXs+tj+0mm9pM8CyIgdmucGvEVRowBlWw9E/cUh3zNHY2mrj6D906J5EKLBiSxXhaH3
C2WLjPY+USS1i9I3PWX6sXVOkrmW6L5rm1WXO+6K4jESEFuWOS6t4G0Sn6kHrXF58nobdQ2EmIGS
ijFHMUSxkmTx+YSU2csmgprsB7fsjHdDLmBfuWLG1765RLkVm6a/qc1NVv9WjfOWKQ0qbY+dnUyu
brW0ESgNeV+gbFfGacqeJgInJYra+dlRB9KwJT6SaIHJE1Q3LzKf2ghppjimBF6k+VMvZj7yIDp5
0Y+XTOTPoeVC+TPW50g+GItHwgobseKqW5gwCVO9IBa2+RpNxXnoFKw/69wIrNkTQdt+8DLimrTw
GzooaM2+pdhHNqKn2JptLFp6HRIsIjJWaCEs9Ll7oJqPU/ZfpBMdxexuItDgdDafE3HHOeSnNU7+
V79MfqzmDTSCx+GedD9TdRir3wBO5Bgaa9fOeR6H4BMkSA59RUbdQY3LlsEiEnz/fkaPXizWUY0E
ZNh5su2J4mVEgIDLP1U3w5/JnQnpuMmRDdjdcmA2dWjQHEfptdJt7JUofzyFUAyxgCYxh41/P4fP
FYoc4Re70CK5B4GOIPt0BPwlojk2WryF1iloUQAy1QjC4c7BSOPVxPhlxVqjkBFcla3+bkrW9rzd
KSYj+heyJjQpix1CassARwccJ+A0rav20LTEJgwUaNay87A+YNQTuNBSKmDlUgqX0VHIR0rOSUUH
4QZ4ILnChGmCV7d60nJJtysqJEWKa2iMlgVt0weGSt+gWYkUWZdeZ5K/DM2TJTZSGO0TlO3uFhQ4
uX01rJ+W8FVoeQvRNjPD/2qGbYSuzgqWbZGpWwAXG89sY9/8EU6wbTz6bkZRGpmKSWOgJ5owFr15
ACSmWDazxY3c9xcuv7P0MKd1ZDFH/Jzt7zt3WGO4AWg3vrnpcm1CMqYyyzqRevk6W39IA6IVoUIR
wsP+PgibM7PMVeB/OsiQpbxlG4WXoUt/e0KTBZSgIcRWjbjNmRBRFW++CD0i5YvnnvKN47D9kiAW
QK4YfwstZcQXlOjgZZA0jlYKRMirOI7nIHxLVfZsLL86eC1QCpE0nlvFduwCtJU/UpsvtjWwZZfq
5uhKrA115Bd7Pe8SVngUCJ2bduW8/CsM/xlfNOrcD8NlK+X/CJpEe8aERT61RzlmniR2YaGCh5ol
eYRnBRvNvjSP3q3XqqNrxiOaTPwauvNaRHjJca7yZwab2wg/ZZRjAYkQjHY+Dg/MOIu0P7zK+R7J
Qe3dbu3iiV9Tylxl5uFsK82dYX06XnA1qCOmJd+3/hSbmtjP0ebzz5ZrCSBJIJdXZLvMwCcGqz4k
Q/Hu1/mH21G05aQxRQKZlKfWMzehNTJjTrFQRiU22nzX9s5v3pGfkCPBTjXJcLrfIOi492qgQcXy
m1M2eV10qIhsKlS+AcfqBxMPkb9rUuBTOkFG1NxrNn3jeG0rB3saAcPIHjjwNCo/LIS83dXskt0o
V+Bmz136HfYIX5tfyP8nP0D1oLCpkg1QeOHOREkDnqWiVlw4uLlUHjLq6MC4uFVzUB3XcxHeMcgk
Vbr/lUm9m2mR7EkfiyS/z5Fg1KTLhHN4isiIoorvamyrCD3CARqGVuQFi9HfC5I2KVjihDezbMxh
LysM2cI7lIFRYDBdYh1YFxiDaez19L8qI3MrCMdTVQR7zpk7m/icyp2PIQuH2Ej9d2Jndl3HVIiA
SWLu7yos9m9Qs78hzFpPjoxQ/DvuoUEphoBdN2gNuhSJ6Eiec1CqX2vqnFWeRV+2JKF9mZX47Rmc
7YrQRTUKZ2jll92v8gyu3Az0mN/tpS3RhU55Pb7YiMJirwbRVUvHZaLJaWA6M4nYaU56vMyyl3Eo
XgLTxfDo5bjLS+mp02IJ5+wWhSKMMImufWmEH3ZZq625FKgViFL8IjTntfdJMKrlJZnNOOkxq99F
CaUropS9UVO4OGLAopt6t/MRH9HsigqOe909a0j955qYuaNVo9kyo+Zq59N8lxYuwvVKgRLDzM7r
0oDRyc86TT4YmPFyu2bpbFMN8FdawdfAlp6JRbEyQlRyRsl8pishmzoznsNAZu7JsYNk5bvV89yQ
8uXisLbK5ZhVfhVzfFaPc1uiLCwm4g7GSwlYoM17+MUsfr7r6DZwQvGYD8GrP5DbW6Z1y44qHNDB
Rc7LmFKZ2FnfrpJmiLDTcNWOKP9yZia1LdpTLpAw9uSZxGzITn7YPzmT/qzk8ot4F4F20e3KIL1P
C3XJA3+tyCR4cJeeuLUpG1fRYpLPDBxzVfs4dUQGTm0p5vehLthep+ildZlgybbYlQ9+QccHDz2e
BJdPSaOBFQW1p9MrpOPTLvFvAhrtH8dJ0+vNfn1niuGx8bL7kptTY8mRrv82Kv9MJNMGpM9eF/aH
5Ygwlil3adNirOgQkYsoefGr1tzVtPJGJf4GsyTssmPFoolqxY4+v/SG7W2y2e4wBdBi6xa5ec7R
ZW2CnmzpsL6aALQ2c23kqyJEBR8aHffDNFnbcewX3Jf6twTry0epB5Bs8rdrzJcwSPSGKJB6XfPp
S0Q3O2Au3S2B7L2p1CnK+MNRLgIi0fKHIAvvBUdRbjKK6ZBHuwHbBSMXDorRYjz2rc/Ufy7Mp1AX
01GGZHOYerBBmcn6gi4Cgxdd5toLA4nKGAzgWN0enZKVMKPzdpfSCbK6sIhkbizWOCUnP9u8GRFt
Yc+52jRuaMala+UEdQIT7RRyLAewkzlU3Y/TE9HnMdIPBJ3gJIpfQioqtctm0331okQw34NS/6Cy
EYBho4b8U1cNKeLB6NoCofcS4gvwZcvUy78FnVmDT5eG5OlPm5PHUCMTzVMwhm51surJ2bmjFT1Y
OiPbPqhTzppKhGP4FdV0CVRaEf4n0Vc+42Em/JdWL0jAUjbgwPqqD1sm7q/hhguhdLWKbYbVZhzA
YebUNOmC1gtXIFOurnNPrQp5fwcfDXZY3G692+Kw+ByIAmNlzlpsN4W3nnocoe14OqCBTByxHnoq
JTZixxJuJyVZ86pFfZhtD1hd+WR5sDJ06XfHuiRXtUlKIij7f36Ft3n2cPj6+6WZiJvnUsur6uzq
6kRji21jupZ+j9+u+arHGgkwe4hJHdmnlQhlyZx09DZXCOvD4F9h2c99TmvUNel7KCawGRrLcaQZ
Rsho+Ej5/QeslIOZ3h7W2IOO55q/Gfsm2BtHV9oGU8ds3wWpcZeZmDLNEpwaRy1AFebZKkC27UvI
i2ZQHepWXFUq6WCcjZdiGU0IyxlQfc//LE/uSuKGYWXSgkGdSf3utejhggyNPe+AZf0UnfcFFOvN
rpHkqpYhgLaPrI/uUO+usrz96Er3a+r6w9SWoLf6/qsscnFNyfXCux4MNu2DHMBawn7Q07tnB1pv
4D/xtxmennm6Md4UTIwPxjwgh7SVB/nPOzqYeqDsCcb/bM1yZT3N7Q3fOVU/Cgsq0gP+Uj9YVoJ0
MzSs/YUVWENgUueeI46pcyMbu74L3aV+Khg/MDMuMJm0UXi/NHo3ueW/sNCxGxl2bCT5ySxa/4k5
iIqtpvfXfULpIohxXvkMqULf7TccFuJijCRsOmSF6tD+DLpmbThwdWkuAtZHtRlSOwGlqnvzOwrw
lZaJ/KCsuiKdnVGUErIUNOG5c1EDzn8FVuzslic16vpU6ejsquHczdme1DR/HZg16BLSEpKEdXiZ
nKOR57qDutUYxaXFPDPZ9WeYkwkircIjlCjRrF7M9svwTZx4bVdnsV+lT3VnvaY6gTqzpMNaJbpm
99z2N+XidPuh5ROGVksEVM7Ussh6Ap9Rmfaj2guv1BsitMmBLDDu6AhnwjDEqZJ8ECF+B9t312bI
aJqFEDaIxC0+zLxlqO4zz3dJjswkcLtSXxA/L6+OtPtf7dQmvvK639DQ71Xo3CdJpWPYt+t0QIoN
+6FfBAwLomQnDCX2g9U/JAzSHMN8RNDPVM7ZBLq4MnHcNQGm3YYspeFSpeauWlqu8f5I4jbnhZUy
3zGGW/XPSif2RtfD7MLdUCIr4NZD5zIpn2Am9tXga2CSAFQ30DWsCPdBulGmdKTGV1j1wUsZpg+D
Vz3WOWlCBFHGvZWwqeljf7I2beaADsAhAVPHHPtLZ6hPWkrOX7nP2A5X06fNaGyhudE+08++2BtK
PrjVC0cjnAZ1Tgf0KpCmor2JhJpMAqgkeXnRdXPM3QE+qb+P4L5QcT5UjBlnMaxHOZ1y0zjcWqhx
0CsDXFCOwLQv9KVNIgZX6rWd8jhjFyz1UWi2Fx0RC1l9nCTOhqhOjvkkgH92sUnsYotxiYZj5w+C
Ksf76BNsP/XJkwwWwE/Iwl171rC2I5ZMQDtM117PdYplZWv4n2ZYvnMax4XPrgi4dlC+jGV7dlly
Vy+dOspeUQSHcVGXdzNpGJO9q+ifvY4gkvErND+KCIXtm9AfHQhyhzxWwscOEXf1OO9T7KpDs+up
i90aFQhojY7cy9ZFJStXYcFiTn8rspZZ6a1u2DM5XUr1MnDUyejP9b1tSZcXGeRejZBgUMLQoRa3
0Uf0OdR2TGox0uxLGJwD99QTLN0/WvbeYO/JoTGKU43aO3KO7LCAi60z/d4Qj748DFgNuoH511Bv
5uy9jTadp7cORQZyNlDEv3Yz8Lo+KPNloqE0wauoAumwws3NZ63bnvLoKVqew7xZs9zmUtuXJAV7
+suNnj0iax1mJ13pATHlZSUBAK7CpsT7Kp8858VE5xsl64jxjHjyCPDu75tpH/ZEQDVXdOOwbHAo
saOnuRIQkAyXTDjwLNqBoO/yRj21uDlVh3vZ3PTl22hfOjXGwjkMktVJSI9TvCelgSH4V1AOOOz7
zfa+zncG03jJ3kHBPJ6TajcvX5F5ZUGzNcjUFvuUgVyYHXx2fu4/Fe0jRujt8C9ot8RE7CoUMxaf
SmnGDfUk2ZZMQiQa/3GsNjWjnBCVM1p4crnDdF+KFWGrUFAZaTEzo8Liy1Xjr5pQnoUfWfE9+JT0
bIRFeSI89iY9sCsWAc1zOjwxjMakxaibZZsLvbAnJ74arXWO8iiATivwtwbswTp+E6YJwKLuVfMB
3O2OWLw1GZ4rJ2daxPRtoBu8NQqVOHU+j2P5aQ/hIa/KTTpDRLzNsaNlNTtgas659+oYuwb4g8H2
N8LpWz63/qtTngV6Mf8Ve2+18IhRxkwVjTcfnVzVuG3dRd+1ff6vYaR/wzx12X4s37GsLxwiFsho
r9k6xaGPtsr/yg3/4JskJLs7a4Rw4LzgZ+h95geZeWf019LANDyy6AWQU+IhnOZLBmOm0FuQxLUv
X73mnqIHxgEGkVJAZjGZMxfUynEJEd8frLvG6LBdfVsNv9liM1t0VtLXsSAsYC73ffgKE+WKGCIx
nxASED3vHiLvo06fndp6wITlVSmSYvvc4tYDuspY/cdUEghXtSvMYgujxiHBgIyWtY0Qcl11073n
UwdlM4dqJRhZq2G4NxubrBe8zKAHaNQxZ5gv6B/v6WjWczbuxMhCeeLoaBYFvbI7uGM17qVunmwQ
WR4nTqNuLzmU0OyTwimanX3WqlXIthIfv4050w5+irHZMWo0ZkpC+D1l0mBSYJKTgTaLihAlCQOQ
W3USRz41Fzv9udRXSYyz4BAdK+L5yN7sM5J+inyzWDhiUKe0HhmV4fdt9G21byGnuG7v02CfhuZu
VF8MJA9ueLA5yUpqJNu7inxbZchLzK9g+sSw/uQEM6Hjdqxv+i8N0j4PMO7Ma4MS3pIfEQ8nMrOV
yId1FnVbC7c5MThb5IFc1wFMJJ5M8eK1b3DYrzXHAh/OpUSLBcxlPUF4btkvtFg5Ejw/wajZLs6r
hClyYrD/Ed61n781gaNqAsHctjuLdPQEd4w/teesvrDM0OO1Cx488RG6clMRmChCOqgnNTON45DV
zLetiWgghIlqrGLGFesUsLIS1l1tn+yOfuQVpi2g0Tu6UVB3xBIgbXSRTbcb7Xy1BRqTGXXmyKVo
/tzCikvQF6eJzVn1xJsou2GvyDsy5re+fO2wU0TtjU5y37FKShh3NzBXou/B+MabqRp20urNqMLY
M3oSfR5GFt+T9xJMG3eWd45TXNsG9BFxEUScss5pHEK4p3XnZKStYeQPHl38LE2FS2/foLupRKzA
y+XB52i9NUKfC07ZhJNgvi5Q+SLj0xxZLFjPmfHr6H8aWVybb4PlQdBYiYHo4YnBhK3XaaPWteph
SrMkCg+oO9Zm8Oule5pD1vzbhnW6YgXaofqDEKZ71obRGSOX2Tw2TLy96SdHAaPfKhFsjIl9tP5N
FhCGjG+9ANPNbRnJrNeIq4JBeM3ufWH58swEGFVgtg4476yMjwArKalkAbvXmobcAug19NV1zh1m
Zu5Ko2l2+4+GDYNveIfKPFr8pxLv0c/YurPk/VdlqCTkzm7fSsxy1jnrGGJ136H5ZjBkS5boKiUz
K5ni6vHHg6TJBhT37ozlNaHgnNJkJSgPEKGBWVCYkMtgZzn+kx+O4FfIrMZi1qvyscqKeGYFFApj
OwICGYEolQ6n/JOuzqHzmrUgYDRA+esADNeC4tfgZn4JnEfhvXbiG/mCm4Em49TtiOKezmn5UwQS
gdCHj1MLw2lho9Rx/Duf9oYbeixPpMIMCdNJTDbTy1ih3pHZ9gbnqetLtGB4KVd4k2qypHzg+k7a
3qE1PZQd6c/pHrXCaoBmwAWtNznfRWujD7cbcP8YhYdzWVyV+7PAffDkynPIHOUrWTIHD6rPTISb
WW28gnDx0F7faooa3rND9Ko7cqj/Vubr0F2lfx76ywB9vkTA9+dG86rWlyEIN+bwubj3qn4Ml8eR
PS+TYJcFFHP3VfFDd7fyYdAz0KSj4mQSdzUJcXi1Fstiz4wl7ZDQ53u8MkdXE/RbD1fMJOs2NFHi
nSkUrOIkwKlbcQUgoJD3dXmY/IcBAOS4EEZlxhAogvqlMQ9wH2vkKPgSX+X8KYw+tu0HBh8+W7y2
OVa6WPeKCWYCN+q+BAjWZoc2MZ5uaQ19xLNm3y3VTtVlHN6aaK6q1oOXAuBx7r9a3GgQX98W9gfS
OXk10p3oop1pNZTJ+paoNTGUaAvFkXdMsEFXEnGisWkJC6hAS1oUzG1kbpcuParA5BkoyDTMN7b/
fJMJWdsW4MmMFUFSyAroTKO5npmgyYwZ5dAeMqSJnncNcb77vy3ciDkwoIsQjNbbdIiaEuE3sqd4
Qp801LAPNNXtU8P0vM+Yz8NxQi7IZ+igvXt0nVc3YETlx3Z4RtrPMZA3LIWdLZmtqzHMtp1Jq/yW
R+m+yAdSco8BS4uqPjCGJdf4Uk3zmkuHPoQStDloilYzq1bDyIsMayVAoJ3iCiPC4EZCz88NJdrg
Vzs7xajibR3iD5IiYy/CZdmdQT8jDdmDeErtt0QQ23PK+XFtft5CaXv7paG7Wj6pwzWiyPCFE7ag
yfSn3z6Lif7aZSned4J9racg2CPNQe+5spH26AXQBO5b9M0GGM5CxTK8t1mwpwP1tI1lnM4vbXY+
iPQAqTOv9s6tJ4ZG4AdoMTHD4/vL63f8qcB6kouv7fdS3S+4ijvLifsmOni5H2P07fSn0XDiQunw
Bv4WAx2kl3gjig2036iTWe0NQEsrNB1aV0dcAXFm4xk1KC8ELCc5HZsW/n9lKqIc8nIjXXA+zFg9
VIc+sySw7nszHH+bBGXHXCR4AEmnrhEZLrBcly6J1lUOtMdx1cdYuTY1Ke7NgDHwpoDJSi3YvngJ
CCf6532j5wTMqJZUFXnzE5IntYrA0UqJH1xl/wrXOk8+YEw0b8ZuqcJTEohHXzI+kbhdJwQBkw1r
3BfVTav3uFTG/UyWXSXU41hazj5f/F3k65VniV3OO5ApuW4XKCZzdGLqCmNhO+eorPxqRWr1xcjC
LesFjihQBQCRgcjIg4FEkUUZy8FxOxHd0SXVoerCO/Nmt4f40FhJHFQW1J0s+gt0u20jGScC0BUu
bt0251yJHUOofct7kiv3zQv9R0/w7rTyGlmUZpG+Z51MnHZ6TlqUl03d4vB0uOCXmm7LAYfoBc8y
55y0+dRRvaCxiv6cVh06c+SoWT67ksiPwZAMJIGKh99LkkNSnOKQtxCzFu71dcb1R0aNrLimL135
4UkUnfWq4HtI8JznVMJlge9yIGaj2ndZPE8QqMQaROJ2zEgiUe6XWUikTPmm84+urWk2KVsCtLAr
PBilhqDnrjhhdLEroMSFkLwY8GGZFyYGHybfC9v6OzIw1M2I0D4vTMPHiV1ZqRlf4lzo/nEzsqAx
pquy8TxoTn+2lOEnMvgBVR631tx5rPdXdX3VmG0UcAP+xSO9gNHdsC0bDPMr6OyBIkj7lLafiBxN
0HgQhMOv/yg7r97IkTSL/iICJIMuXpXeK1Mp+0KoZEgGvTe/fg9nXrZ7B9NYoNCoru6SlJlkMOJ+
955rZ3SN/dblPu1foob19Fzb4Deo3zv10w6vZhnfCyTOcSM7FOG63CQoTNgrqvaSNG9+vY6bedC0
RgVrsn2YsD+/0d9rBre228IZ6TA2phfHP+nfKT618dqbawyFMAYj71jXhxADDbXmNclmb8n6UttX
ShIX/Gje+MCWB1S5gRN1Ao4ll0z2JmePuAClK0iuoLj68lDHu7G76f2fsjwH8BiKNYdC+ZUAdcLw
78QlRsDvwsBnHN86ceWSZWxqmneXcnC2QoSbH5qcqP+y+OCPinjT0jbNyVt9DP1zJvZ6iN+Ybjge
8WWF042Lmo3+vZIQbz9EuxTsXqtXrXsS7adIv9rwPOV8AQ46sATU0gqN5fjb23dDPk/dZgJ/Mq/3
rYkatXNwPUn5a1rbPN9m4okjegrbZ1qnM6ORx0PwXpvnIv2pakS09wzaRadDnbYw1ewy/7PFlKu+
yX0k1tN49RN/RfHBuu0f6V2hKMaSnyLbxNTH8yN1gCVsLJ52Drho+PUi2G0APoxhIYX9EOGtE+Jm
cbQ1SpNhJ1DZYmUKHtUr1eNvwTc3ZuDOviyqfuzkZNi4XI++WtYvmLHkgLPgM+/WVkNzVAO3Y2nm
51FtJ21nJ/xdzlcDT2AqmpjjNQfZGosxWOPh5UwK0iXA9pF9c4Tqqc4wqm2ircNupZevc69r8gQl
Le45mOVLxgx6/OG6C1BxfW4uu/RDQYkw1NULtoZ+AnwfF+BhKJ8inu1987JMddXUskh2FB/J8kPU
51Y/63QqJXwrtaqLRxhVESXhpvOBSuM1byQxcnxiGkL1qeKBysyAOF/IUpDViAIHnAfd5GHJO2L8
R5jRqCjNrjwwmMdg1KU5YFHKk88G/IcxxkEwcgUl7YXVw6RLBOc7/bhYuVnRQfql+1axZJof6BCk
ISZ3i41kmp/SxdU2lgaUVybczkVDDhY+6Kb8QZPPtfMu0A0qez+QY2gxy9wIZHoVRp3qIeBU0h/N
9C1g6Ru9vcfguT9M+sdk36fmonBxIMrFNMZtEqyZpBEemuSUyKdEYNJgN8e/o5Eo8xQrhBhYGJgb
8YO0W1mj9hnrBDaZtWYcqydHI96zy3F9+oPwoaijjzJDzZ4Bu4liiN+C2WiBAx4rqnS+Om8uxXoo
ZxhEuqmCCjDyopiPiBHV6W958a6w003+0ej+aD3caorJcDTZ3XsKiRMsCvG5eamhc2j8nYJ1CA+D
ubH4pnOFZXSX69SyVZDb1uRq/AhqJF4Os7zq41M4cmlH+YKEJxr1D7f9AP+s+rbYmIfVfcAd2lCj
pMJDjLwMnJbRL/JATZuHu2ImSe+rZq3so54h2L3kXkFqgTwSug4IL4E7z8weqOn053RMWWwcaJNM
xwAcU1ALRxw3P2JRFb0V3cX9yKkUa26tf3Fj56EqDpGzwXsb8/DIq6eYGi9GtFTmpifsbXm/mo2C
1doQuGHORX0i7rWMY5PDyLbpf1uuGphJHD5jQoZe7a6K8WusNZ42+TLV8mU1d2W1W7NhZ3Kqyewk
ySqsPyzYHsgvNpESfWSd4r7kkfAq1Z5Zi90dU6jFgbOxrUfOwhbp1WnjYR3psabZu9zmHTFOobEd
EFI5Sbv2a8j+aCy2tsJqjMe5bx7j8Y+Praj2c0C7LfW1EiAkWGLo7vxgGBBBsXr9skzta+X1rxMC
WaESngNEbvERdeD1ZMcMNKPfy9JczMxi5fnWxWlggPq22HpJuXdVAqq3XQVDshRVth8lGhjZmi8y
OIfELk4ypRauPRBb6YtvxSz530SbFa4VzER3gm3bGvXfYhSfc82Jcps4NARLF9TSlK7qtF2HgX+v
cU7RJEuTcLY0MsnsqdqmpIH1BHwJOMuAMXkR6cj31aJrARhXzosp7B8fELQaj6G9MPHSSMxdrTKe
EhWuJiuAiixQc1UPApvnY0s0QO5NhP0CAKEeOOvGzpiMvLqeD2I5X8as3p4Tn1y33zN4XGcZlNS4
vY3q3dffMHxdFEpLjAO/VwVblhpskn5yEK2NZCf6HkMC2nt+0/16GXvMxPxFAamGvSw++TfqSIGT
aDrrsDmTps+BM4I0AkNYMz5xSP4tJvHDMTCuYdqzfqbc546dLAP9Q0+/J91b2YiLIz7cQbv3Uf8Q
taDxvOlQcTe14FNTFW90jaCLo/6EaQxn5hDoXwC4KeVyeN7oyyLyH51Ug3BmY7d08bDue4Olzyx3
pvvTqeKZfNhaxTb8S3zKjb4U/btZGVTnrSutx8LIHDTmzBOlcIC9h8nMt4WFpUdnqpSI6MmGt0eI
dTvR4yV1ZEdZghE2cecFZfPsVCAzQvtWWN7NG4rX2qv3gw0+rgWVE9Bo7EKfpeeqxntiiWOJsUeS
faBpwg6CLRHl9VhQilja65JEqV5m51rEPwMzJNWwOe31Tc7ZVDNudpGsIx8E1DUqbqmBn37MGe1k
lzAEF4apaHI+Qw+EWvRh1c4xzvpFTOCAkPmmzEZCDNMu5TQiW05Lslv58bxp1beimBYerL8BT0Uc
i0PSVxx8EqK8FFmbkgd9MCehocLYq7ycAyIIfwZWYc7+JAc3zP8W0+SfRcfJLDEAAkUd9ut0w/9w
ie2XOrS3bc3EsAFPhqtLlfDkenbf/Z2ryy1+MBk6KNQeBxqjAsCC3Va2N8/8MnK4tBlHaxn6uzHk
BoLKxYCYDR44JWav5H+jNTWvFMzyeefUNSbtQmf3PLjEJkLD/BNiWi9LEhzQ1MaMCRcyZUasgpl2
I++ARQP3nvGZ46vfEEwEGJRdHXC5HsfhrCQOmgCEZjvkauUxKTeex4DBlevRA2XsYwvpiqPm4Lnj
9QWAZJm7WNVhtLcDC1xmldvMIkesM66A9UwKFR42M48e91bAjIhEcK30ra4zUUXAKbw3q/QfwzTZ
EqfHrosAC17HapkCOd3Zn63xEDKkZOpJKqsL9Bc7dxYeGlLsf2rlLU9e3LZam36+V4a1FDVXOugl
0y5XJaez0BLvWeY+mZIZV8+qFrifTsTZOmdnH1hojPGmZymOsdKHkB/7MtjEerRJKMizBKMRxWE5
LsOXQregtbK9TU7CvIsJtZlHhWUyQPO7F3t8j4ACR2i6FkJTB24TmlOvdm0Hj2AGGJR+sxW47t3Q
GSDz9CuHj466l2XHprVpjc1kPnsR/82x7XtczHAeJHQ/3gFP2eIYR9hAus7JOYyleOxz8aZbCA+Y
cTZD022TkJWEoIOGx70qP+js3hcsgi47BmR7dqzB1g11ON/2PQio0s7kKVTR2qP/FTW/ANm6JWvN
DliekpwpBaVeGVYPSBkj/21kjhHvnNZYjXwv8EAo4EzrHPpZyAc63bi20gYtIXyfYhfXmvtkOO7W
0VizXapOna6DuIvMN7RE0amaz4trb/s4czQ8z/wEfjyDJN+tRH8Lev8ZZMwiqqKdNILHyeNsP5XB
a2DVl9pujwnjCo9hWFCmp6pwjgbLTR2xx6CGOeJTHcPgpOlq16MUOT5cKtE8hWiMpHc2pkNblx9u
TBo329zf1LjXrNrcKfCP5RQeuoJJJ+2kRh29JyDKhvTLh0XYhx4vtjpFYJl8t5odvHfd44ZS1DxA
vbPbd0lACQvg1jYY93nBumBUN6Qu0D/rwW0fFeHIPB1Po6r2jhM+R0DgK/BFRt1v0NEYRiUrr2U+
qZFjgbGV8gRNW6rgeThGNzGWG79K4YyhMIxQIAm8V9xffbPyiG/5/bhxu3DJ8+zRzvyN1TRHmzTb
kL0HtLc1AtxYTaeqidtChsu5ByFjPuMokN+Zf2ys+G545rkVQMilzeqvr2H0UxJBajajsKwI9m52
rgDdhw5828LYR1PN6dHCDmr1zBIaOH9W7P7RgubUY1JnRNXcLaPd0NFws0r0ExpT3kwq12D9UXBh
W5GxMRN+h+6FKaGISD+O3VfRQOLVLKoKCKH+tnFH5VDSIsRTtJp6XoGHB3uzm1nRj8i7Yo94aOxl
ZmtPejwa19qdH2wQwm28jSdXIJLlOE9N9yQ0bVppHdNNLRo/aXXCvwRHT3zV+pxJ1e2XJE4ukV5h
GZagHk2NwWLfcujLyVYmWinh0Qlt2bbVO9yicztKygIjNhkQvmQO9M3sJHamSf91fU1fkG0hjjYy
0NJo4NtoYezuG4ZE0NitRdahyToTRhhTYyPeqM5jmuX/sYfyq/acrVDaY8KOqQrb/VhJh7IfCGD0
9SHhwYklfuxG70FibEIG47Wj3T0fddd3jXjV9Oo2FoAMNSKTbp0c6Wlw/ZemKVZ+9i1KZvr1Uic4
LwLoZVoFRFBy3QGIwCJgl2wnRnXq3YlkQvgxX77jQCg9d+Z0wrKk8mdQWGoyuUrVTzeYlAhRZzLe
zaJ8NOL2WpefoXuPjYHTBZ4HwouuEz1N/P0CyKXv7e1yPyokF+fXMLc6blgZbi37I9XKRZe3dxM7
r2Hfa2NkM7uCahtRx6hI7jbFxlQd9+oQltT9sR+EYFnh9g4e46jaFgU9WV1esN8bf3G7I8F89l70
lBony9qnFNzV7NxyTJuTaA5Tx4A4UStDOuBHnqQkEhytAnIro0fNRv7aVniSq+e8uvodhexvWmgR
8MC0nRwSsyEYkj8U1MaPlG1kC5+1aO1A/tdcgVPwW6afSXTXuRniYKepeZZY3jojvDAqOpmDfxRN
/ToMh4SDqN0kG8vI1hGvX7MvfsTyyMuyrbfQLVdDXW1cHfE96+8WG4E2kkwbeN6iZ4R6dCI4RZT1
Wgzq02T5SMj1DDGTfrZixO+vAz1YFRMbVdoPIyGxaXhy2FNhbSaZx3SSAd6mdt4woy6Hjit9/HAD
QNzPgfPplQebPoq4okIHdchPXqaMGiYF5o+dFqdf38+XYeO+aEm1UQ4ZZ1TM1kXxCC3+nKWtc8ie
VgLD4lPQT0uEme1ApaHl+3f47yuX9TpNtINNfVND2KUIgrXeZ8cpcvYRYZiqwy3FCjZO2iXlwGCQ
0+4OGrvj0HxKQP5Zr92cBLpGk4n6i/IRUUFHSNrl5yC6Py/YxlCw5+XjKj/HPnurMEIYeFD06j3O
w3fE60NQM8ov9GzjafHIbeA8DXa/ooPoBQzRZxMPv4NsSISJHYemFV/k0cdlvU7HCpms8F/HzvkT
86x/aEXz289dXInOEzET8aqYh+G2ml5Dk4/13LQmdI8Rej+jaaPWTx3MrV7VlxHfRFVpezkxstNI
x3bs/jwd5z1RO+LDD7O5NEuPU5yemtyipJpBl5wxNCl9FOWpyfJz2tVH5XeLlq38qL1r8H3LmNHd
Y6//JKzOXfcTk1hPpxdap/iYTnZsXxtwrLWp8fYjfD6EVsQRKj7VdKEYdYiG9GXiJup7dnROmDBr
rtK7QGvMPPLj3bDTCQlx9y3ZZq1dNi8dG/0WXUchX475sHc5ksjA5AGLFSgn88nXiR5de7gAmnvK
hGBeiZbrOVQygFhoG0UpjX2scmRzNkkj8gKXrVW1e8xI+6CTuKmyddlgS+AejXp1EJb+Bj3pLWB+
3ZG0MMMCpoR7APGx6YkBuCGIF/CJPpvZMudOx86Vq5C7ZttzpMlTfROk4PgRFHITwa+IexBJATqu
difH/DY4iJjmxJwL62wHx2J6y131msvy6le8pNJpX0qXpwhThZDpm3fHQ3suovlIIlp/7dslZTac
TeejJQhpSSRdxl/DlL61vsnmbLrTIruoJ6dftnVMc2jcipNhkWzq0+rmNN7LpIlz75bBtoVFtKrj
/p04w+zAWXtZBtmZZqhuQmPU2OYmPvazsGe6AJzoYoDv2hglapIYij9xKym5qDi0G1N80+XwmvbW
bXBmWEElwF1Wm7miVWjmcC6G9NFvCL6GQr60hi4f3cx5tuL0K1bIIGnc10yRGe0LQHwLo3/OUbpZ
4YyBAAx6e/tHxcO5qQmLNYm7xStJwjjc+xYZPfz4ytUZ9EeE7Z7xtB5pWMbWgZBvccWPh5wXg407
rbqbpcGuZWiGwqrPZZPMM+pmS/wbOs3E4qYlqAv5Qrb5e91k5yD57BFUm1EBO9YeWBZTpUb0esrO
PBKwTElKzYEQXIbbaEgxOdmbykIk9ECQ6tiRGgNiPl5vDneAghkhmLTbUHRTmtHGKOShrvRbhjZW
hP2bL7N1LT9jMJ+GTxMIMOUqY8SOFiXMgS/BtoXfVwMAqt7/narxK6I7c0pPGdmSjlOZKH+L4TJy
3RE1pOnQ6qj0ZtBpExDFpF49VG207epvDMplwpKcxlS1VuuIuohOw92r9RcjJfEf+trRs+Rxqu8J
wIwSZ3BVqnWn/Je4pukitBY9OQqXq6TJZkiGx3lGP4TkezNMBpBoiFqFsJ4Ru6McYSA4dPrFYIre
F8js7aLm45iBYQ5TI/yHMfXjoGLpSGO8S8WtZz4rtJ+U9hMbK0AGfL/AzDSjqQDmpjmSpfGT68mS
KfrGSr9Ku93kfvNRyTfwCmsY5AljoGGey/gvkwNKAQEzZfBj8vsGCdQW10IFewoLCUENBKjDS+yC
GkfqlgHerAznH/UfdY7HM2LLETbss75SrBxY5ZdNCPs04tMu9BO6ftn5244oUE5S1BQjAyPi7ZIn
B+XsmlhHGH8UF5lh2I898ydDw//NO18M/i5L9T16wQ3W4KUCFWST2IqLEcufveM5HxcOcF/22Q0O
1zpgOpX2FyaduCX5ycLmYusn+uSQbOWPRC7NBHcmN6sCudM06lERZY7zt54H72AerDa9BDqjbmEe
RrqFTc9k/I0ybDerMb0HxU2rYY0MzUPZMrPFp+S17j40vaU3+lsbjY8RQRKMhwGhSKEODKO7GD2L
/Q16WwI0D6FCssNnQ3zsWu/gNr/G8BNyfMnpNU2y9YTHPs3BHIQBz2xGEhktQpo66oKxMv0tQWXs
yQe9mhF7PMslYcyRJIkpkZC3KmIQMsO9zZIpjjcNOnlDShCqctcP33X44UMty63uqebq05v6KRDG
uuT/d8xzLtgmJgzK6+41nL8csT5FrsRN7aWaOHIExmWQ+iWgYR6IG/h9SGOyWXWSEYQdr2ofujCk
MQ8LSZD5S0Fa2dUc4EmIjlq89QkoOGj00uhXXYtIyeBTM431iPnB8vunypMAHCJcR69u8BnilNTa
l5hYe6PD1GcSjaOq4s0059MX+bQ4AczEpeqB46t7PiloGLZnrlwk8oq3JWGnr4mJJIK/ZhTM28vW
PLzVJjjeGvGBksoG/kNdrn2QVKb+M+BMMDRjZbiU0mBCTuYyCnwYU2+yAjB6ZAgyRTeXKUdZnaUW
8KOOm2Tq9z3JHIf5S+ZUTCyOZBz/BFV9DPKOKIygtS/ZlV74RmwvoGe0Xk2e5NQSMdvr0eptzhAr
4b8k7Ghtvdg2cLOCCcNbTfkF9p0QcWMA2DDFNFZbJHkC71ez9J9GS8+Obd7hu571Prolnv+skU4U
6FSuSdzeMp61KHtPjHbZVD6lJNZO175mpjnhHY4fDB4ra6B0OMY0A1jLipY002IZV+O6DBEiApRg
pezrBIKFaDsImZoNCykFMD91vwqs4eag3IdM49Muhl8+28+dUzLOqDRZ3iPBe2MT8GUg6ceollGz
j0f9ZM9x2OfZPykwEHqvaTuQRvxoMmxbmrsKu61P6LsvflvvqervDHWxzNEowSfbwM+JjCNSIXxm
hksrEyy/n29783E21tZYGVVLQPhd5vliSNnQk0yOLrqU6PR0a+QGmyoexpwlEsMi8fnC32o6ijNX
oRctJDJeZ7wbnoYhiCMm3riwXRNnwA951GTBMPYDpsWyNLEb5zD60+jUgw6gtiHvSjwJ7KU9WNwh
ShBGZItLVIKAfg69q0sDCRZSkjWrEkOVRAAeBgZsuHOcrN/iGi4QPSOPJ8hBh5LA8sJGQi/tlUN1
heO8JslnDaOeTxC7VNDcfG7CEnQG25LxK+zXY4tjM9CfSdLepvIrw55ul8nC0UjnxptxVMzYE17d
tNG4S2hWTW+Rx71ZOA+6F66KKno000+0FJHs9IAddZ4cNE5nowMr3Rux4u1NAqz6T5T++rw5YgZB
UG4eojBNgjmym1IkQzEk6QXLuNu+D9T71jjb0P/JundiLROnesM6s9Bk04tiQlSvu/TdcBEu0oem
uTvVS1mu/Ohm9zcyGV19U9NDoxHprZ4JX0mLRzaGCJ50HQfS9Lekc6RdRt7WzbDqIEOhUY/FPQ1f
VIfBFcUGq4dlf041K8C2dY9ITAU4YXhYMycJcLpuWuuheoacF1D2hRm78zlJoH6z6Og8yYgPFPj0
qvpCbhPStcmXm/t3707ypAU30z9HEFbqPzbp+PTZZtHqnGDpts/CXQo+nxGJiAz1IuXcEFsbgxlb
wD5E6KsS96h07inRUQtnK8On5aA9EobZxmyLjFFtKr4aVSC5/85yuU3jt6BidAgdoehe2c45ivQC
2/j27BQLwYSkbm/x8GGNX/646wTe7u0YPUtaEOxmneI6TkeKb9D6tJ3yTwkJ//4UswYO23Qix/7g
BzuQU5PkvHuLo4PoPyFniPEm5CulT35x9Fh8U+2WgNrULx7ym1RYvHY6fo2AaSfQK7opJ9QEyhbq
4iNq5dHBB6gwwgkUDk/b6Bi2CfwzNYJ4R2JfrR3nWtLgmvEom5jI17PzikpL7JU2iKdxV9qbAdhM
wlB9ZPObn3X6TpjMo8xo6qWBRq86cnZTjZB1c4Mf8k8VzueYOxyvGsuWzqmZlCtX0V6bl3Bsks2T
0d18Aq+EjaCq9e0Kqs+OYQ7knH4Zxq9UhmKmcacvqz+V1mHC9WUWCC6UqgZrX+lw2NF8kHUaPGiY
5mE9jbhZXRC31MRxvPZ6azeOW9t8sY3jWDwlydkiJKhSjgN0uP/gxJfRS9o/FtU58DwIInsxstVl
iw+gcbq13scgNpPLJsXcpeWeyo61NuxznHDyzaWUr/IAqHU3gUTSfrfdL1awtUAl9rDapcRI+agw
Ts4uiOTBNNWTqO2lKOvnrrJWTugeB5QW0Yv97CXhesjT6a1y7EsG/4KR9Gsl7AV4hw+griQd4sPo
zUiX5nGIIBnRuoTZiw/MwUFhEnSHZIbLn0kwebCFpmnc9cdSBMsxYhl/G0MiMS1bwOuEOhjgmqua
a4IAN7GHTbnt8vgwUYjmOldB5XrGd4nvGhvniI45gwN+mCpu0QcxPVuIfl0IDdZYBX0PuuyoMS7K
prem+NMZJIzUU064Ma7ew+6z1nZR667skqkgVSN1e5m6N80jG2HAmihOJnsxMKuYnYeVTnt0nR+7
/DvD+SMnZ1mFrzIpOdq/dhONecU5pw8dehEIh0cSQS4jaj0G8nDMeDiH03agNyjh8xqdlzTbDSHJ
6HSnhnsj3pxWuyqagFNsD631MffyBtxusRmsI7alWgxUak9JdWb9OP278K0lAhlAqxjP9jFrPoOA
N5cgV9TVJ9OBi6ad2oHhz1ZUDqNIeLKPUUALPLNhy7uEOFtjqpyy/G2uIYgi6srm45VGEE1HgbCb
p9IqVhbTX9O75A2eiWg8iFlWTnigf3XNtMhQB8JiY1P0V/vvnvdRqU0UPwnAzzmys27fSizAGZ8E
itkyiLG5oHRoB5LaHDQ5n2FlcuWzGCl4F/t2rrifT+Bsayx6X62SUhGzfWNsuawDUhq8l3kuF6N1
FbhgUjJFZj7uzRjfImkFN/mp0mIXlv4xGep9bJ417VcX55pJo8PphHJQlA3XD/gTSYBpn2FJ7Wc4
MyN9nYq4wWS1H8nvv5Zy7RfBqnIfhwazTLP2hl0isDmpNXNArP3PgXzra/ibBWs4r1SaOjVpHTKb
XIczGy/DOGs274pOMiNiNez7hUPqvinYtABeqFlJKxzSiZMunehSeO2hY/cOuWozKfYuVnsYC9rW
2KCxmVwPefhgFE9wrg5BsxHU56gKT7kkFE40i4CeTEYwXWIHF+owQPPTwmbFeIW1dvZ3Y6MgQLqi
RYiyumwxRp+GAeFCIgBR2krmSWr/akC0zfI0oB8V7bWA1Ye4KDR7kdvOClhmFvNVMLYVkVzFRLs0
RrwlluR+OjAoWLZeRTXWvDCxvLNkW0QCDOYkzpypkWvb/mXTB0aqJLyZPPnhjiPPsldqP9ISaJjh
MWyTtTC0vSecleXFS2umTpXGkpT1lhQsI70JWDdWsRjrfGuu60o7wYlalfgNwpaOZw0LEQZOK7wY
RoS5F4dTqx/15i1DKdDVc2TstIRJbcIyg5hS2396MnlWXdIaf8pd3jBBQBq0FWNwY6JKgDxnz1fq
XbXJy/zQljzPR/O7LPsLDG4MhmyVo+Gajh74GLJqfsnHk8wdz8WiBnQY9JeES8sKtB07o30E2ITl
ausb3t7yjyB4t2OwI2XLUMAA69jQfDNeTZi2TSYXFR9cmXJK0wM67X3H3Tg++zn5x4yHn0mhY2HV
SXIGfJFw4TtNGIeizNduRjwwUxGOiefX99nKBUW06zPmDoGQ2kFrI1LsxYiaGQfVe8LJ71BRoH3u
XJHdoMSqHVEJ/wUIXPdHz0sXVKruhswAuIsLXRmUdGu0Bk9Rwo7L4oNJp2qgM3QOSBqxsS6s/LUy
aMXEJAK0kr5TcEndhGSrnukdmGCINoz6I/Co7hzWJ+Z6Bn307bkT+FbP2nUxd4DW1YCQaLMG0KPm
vhhNS2kB1qRzJmeGkc6OLGbBGoEvNtxsNtJqtPHmYu9pJizqKqI6OBGdf/cyPd007czhypRi9eir
/OQagl6gJvQXrRgoocT1uh+bsmEHDevH0Xm6SiIPa5FG6hIYJn62VvPAyeVKPaJdM5aPSuqoiKzL
ZegG1sYitPiutVaGY2WwkWYGVd4izaONLDkXRglYHDAJmVY6pUCfHww93MoQ81HgkOCIf13Fcreu
vcZZFKnZ/fHSBgosdUTj2SuKjulAltRbQfUHSohFJLsIxgBSDgcJ6KITrGBb+DbOfhFsGTCk8Kea
erwNkqocspDprazb9pCTs6WizZjHbwVbAVWXVCgH7O4gh6uVRq82/pk83FdlEp0MZ4TaQNA4A7PM
e5Up+vMAJBVPZSb4jOwKU3Hm21deMfC/GMAUOTI5z147q3/0h2F+SObYLol92HTldTkTTdVOzhdK
q9s9uJ6FttyBpLZQD+KW0VbHkJAH/xDtlaaDmc2DPLgrG1GWy4IB5L/pacXcx1h6xSsxl3BZBA6d
h5zcNlUk9XNgubhERyu9hVrjMeKoC8kjobNPItQ08JEdMmwyKh6Rrd9AZ21k3cC78YKww1kbuq9D
nBNjqQuRroVd+09aqFurEl4VXpNcAvyTeu0261GXWrcKZIpWmruWc7RCk7BTl8WbSljyMUYJ3v/3
aoe/FZ5I23GE5xEpN3Wmvfzzr70O3TAVVNMrcxU7ZMCzlzqflv/9O8zdF/+rOeL/fIf5J/hf/R95
0JdErjJKKxoDiTRPYS1WVK3nORze/++3ci3hObbw0Lstfv31W+n2lAJkmZEn8s9scLZ5fhD2+4ey
j//7ljFRMBzDRImzPEP8rQoDZm0tiwkm2hBXx4amukzL/+FTMeav8dc3je/h6C69LVyyPO3/+krc
Zuy9FksGUc+spxGzrletY3g0vBKRake73ii7++2UbuzSwsYsjEeL1YoWXlOv++n//4pd0zEpHzHw
sfHrrz8NtAi9omnFXZaCJ5xm9gWhvbz9h0/vb5UtXCiu6xjSnXt8BD0jf3vNovFqcyIci8dZ4TGO
zt2cwymwFE2tl/zDSzL/1qXyr+/m6qZpmx79QWxM/vqarAkOQWglBl7sks1R19h7c9YyU4UCWozl
EZ44V08f3gYD7bN1XMR7753QZP6gnP4uk+TAmBSDvN87PFlw4mqS4YMU9UcUxV9+PYDyStnJEiX1
r6HHDD6UcC8e9Lm4U0v1H2Uk7e2/3wGG/h9fl8kL0h3dcRz5t3fRCrO8jzTDhaWaA4uTDKLS77E2
DxOkmSVYKpQa7VuZ+sHN7AdDEpti48/M4MGnkTExPwIYVxHzEBdmpk3cwRrwR3U3jQyYn4frqLs3
7Wsu/HUPljvqSCTDL3GaLyUPjsQ6BDNiLjcKj/5wjJHnSp5yrruqyoNnnUA54gv6qEYWQr08aBUj
PAvTIGY9B+9E8eIP29xE3yzqXccZ0Waq0rWSMTGomGHPZO45YD6aRR6Ndb6db9xxLlz00p+xN77i
eYYxeO29s8OvIC9nx8Yyz9/DKiCoxWOA6usqY+NPLEZ57SVG3qM27Vj1CVtAeAouU9TEqE6iINUD
s/k4UTTghtRxEglOaGxI4hkhMVCU3R/L+ZwYK+ebtitUNUTKoX9tSab2aiDFHmbbLMhPzsCznpay
hxTvZtSY11JPftjYbgel/UPb039aNTyDNcl1uaKlbvztsx+TUg+HipYSHGTVuovMlq0oBfNop85x
hABO/eZgAXyp29coGalBbqpi3+cy/DRV5Kb/dI/9h5XS48exWTxsRzcd46/3WBakZtWmnbtUJMyJ
ug3MTCksqo5j7/d3IyKXSSewPMWZq06tOZ8SY8i8rHTaMvNMKgtTF6cjQIB1HRsklkeHRp0R43Uz
+upijTpREfN/ODvP3ciZbMs+EQEGg/ZveqeUlPL1hyiZoveeTz+L1Rd3SimNEj1oNLrRX3VF0oU5
Z++162jgIDwYSNKGHEW00WIkz1meL8xP397efy9H+3w5MtPiMgqmyIgusgHMpR3oSfZMeDqXgV3c
so2CJ9GdIgsujrShEOk6xouUdueFr/zSjT1b6AY9GIbOBEJG1cSfa3P6YfOJ9Y5obUVRAefOyj2F
859HZV/ABZ6tSjaP0iLjin+x//l8A2jj2o0NYZfPk8psAoILMixxHYC7mC7Tq5qSQoDo2A4UiLf5
c1ZVb51r3bkyfCijVFn6inudcQacZQb16Y46UZ67t1D2JgmmSmFAIoBXzLVICVUneSFW7XjZVAkV
nGw9xghXJeGuYaydtI7WsDpCPVdPDp4yvs+huGfjhjh24odcCRrf5CWOGPZhKPDpCygA9RzU9iyx
9zmwVOC2c0svwBDtfCnXrkFHGj9NLupTWHxI6zqmBhQSlUwOZ+pQh49vSmuFzSSk7GbUt6P5RH4I
5SqapoP5nFGbtrwtBJyDa5dMksFmMNBvCOUKTzN8SmjQHHnTBGlHS0AsoguHZkwaQnCaJN0kZsfE
tXLzb8yUot7o4Sxl498aBIM341ztXRKRgPDL+hg4FfNbd6WBYlMpGsZj8KR4w7OWehuXrOSMNMMx
8TdRVp+CttwO3tROcN03/iJ+u8CD2cQnHWvgiiOPOusc8drVxqGK/UPTRndOjW9C1fUT8pjl2IOR
hqhHecaYwiR1704Zokdz3CvhpnYiZe6m4x+/Vn5FxrvoyIh8cqjJVslwmIhOY32omwEVDtcDpFly
sC2RBAZauTHV8MaIil+OpELvuFgaqb641aF0t1n/yMHb4F7KB7yWxzSMON4HmM0H5ZEU0VB5DBPj
2GkWDSzzKXeBfmE6IOqtr59HrEhTq8iAwdjmaJqL0TgZlLzC2NiUpGL3ergRLCuVW22CBBpMv0hM
gh+Ulac3jyXEFOTrg9dDs4nvA7yjFbZWoNSOchyo1vrAqypURW5uUn+jlYDbzo1/R6k9C6i3je5O
aW798mq0/mjxvSv8tU4hxuwS1l9zY2JT9+iAeRSJUaZt9UA/dkHxnMpmXrC/Ms2j5dBNHkmzmY3e
H4PWe63yo5UHo+kXJWwOAK+TDxQ9koQxAcJ2ZHalW2HRmYoHF++zt82IjA4qBWPjk1D1tVu9h8kz
9wyWSbcS4leKDF+jRkmB+WQU6W0ziKuYVAR/qq4gdPcAFDTmvYH+nbgS+qWzjH51o2trzzkl+JLA
Ak4Zo/tQGMt+cqsAvHCEezAi3Pocrnthzj0f5aBh3lRTkV65aqlFN9aLYr4HTbACd7PszGXVOTNI
MgtBArevyfnYAKLyOADGcfWRjS8JvWxCu8vhqmKuQVMzKzksTuXCzjBeWCEoaR8NgxYl4cFTvoKr
U4hHwGub3t1kxu6A5cXOeDQJgJc0/Drrd8JZzSeOXo9pi0Ah7Pv3UURPHofowDOYPIAdJ9FRgrsn
mXTpDrxIvVyScLTBbX5yVU6fqLOWA6IYbGnGukDgb7rJs2IMR5fmX0ggQttQkB+CRT/gkSiog7Lf
xBJHnISi5R96WG30EKx70MI5HMhaiB00UZW90vTmGPrmRzq2h+kgHA5XRlttjNrHoZI/hAIjSEI/
qUMZ3tM9rDDADdEHMHPs5R4KfXDCXefx1ubGry4P8WyahN3wbEMB/aehY2U1dy6OAuTT/f0QwE+j
gGXo1mML00uwYbHHZA/N2F+kHea/yETgEBfOhQX121Xsf5cToZ5tV4i2KLPGIhlSU5Gi09kY6ksn
wm+GIJJDE8hhpGVzwP28Yo1KNiKKJzGxxKO9zEZMro3XJHc/r4zfnFwcjT2XZttSakD2Po+SpO5o
ZS37Lremi+52DsQUqmvs8dn9A2Xd/PfD2WztyQ+VUuD//jwcxSVb+jb7EBAz60EVa9PxMhr32lrV
KMf+PJjBX3a25hO7qlGTs1j4qQF/HgyKYa8WklMZsGVEtBStsUQiKu7vfx7nu3v4zzjn55awbqvG
qCgTKEqY3HZF3GCigvRVEpE4z5qsubCHIjL2p+tyzvammdaNZVpMEAQUKoizfFJjXOvBmVi4F16P
C7fQkZ9vYWQlZhoqXFokkfyyhwJR52sa5/j80h710lBnG8O+Q+EEK85E3Osj2M355GtANbkgvuzn
53VppLOXEBsQvM+K+5d4tyF8+f6BkJ+fh7j0Spy9elncNZgAOUxyjJZX4VDXZM+QMdPaWXIlCAK/
8F39PR/9v991cGefH5Sp0JlshWUtcr0qb8I0RWAsdaOGpddqYAoIsYaomcg/kaJW/c6OPfA7jhmT
c/nzlWvq14nLVsk1dTSmE03nPP/5p9CgCXUwwxZEH2xc5gi6NNqqvnFnWvZeDBZwR2NDiuJbHfug
QIZH07t1YnipMGBnhiKOHK8XujcRqtpNbnvvUjPoeCI/SjPrpmtqGI72KQ9YjAZkX7o+bGyH3rYs
LZrYxWsF5TWqsqse4obXwLjULTiM+rLKg4Pj5eSRTxKWhC1h/Rb4gHK8Zu1jVgHuOVfS8ToAGNgi
aZQKKkOBgoE97j0Z35uy4z/LjpYS5mePbU5ZnepseOja57qh+5S45mtK8EhXFtvRDDao2nibNaz4
Yx+8+XjwuRNwzHxqYfEGVOOjDEIKEJif4xsEIWttnGRO1k2a19dJfezFByjrXWSHW0LqOAp326YS
SNEoO4ghWlkm4JkwJnxc04FYHVutv0Ms81RVtB5HZx0OA6pimJQ1NE3LDJdqFb2TVOnP25YPmX3F
mhP9MQmsDWkFC+jukMfYu+ABd2m7VOWHCzs4pkCuUatusQ8D9w4Rrmi4kCyVclqFjwxxGdGqdbqK
ike/sF5deOuSzETTn9hPKCjcTS6UX7oIN/jr7v1ixNQIXAQFG7DiQzlFhb5auvcy7W5V7ypTrmIS
NNyaDK3IBAccL01s9tiwVmYU3UEOssNVQ4hYYkKw5U6AK+r8N9VeE/u3wTp3IE91Rj70XMmexjB6
Y1+7pbWfKcWeQouLBsOt1I2WBrcKjZDcapdAH2qedVN9DHBCOp0mIq2/0noQot+M5KdWrB0ae8LW
e07QesmUSlH+4NXkWGI5iUglNempsSlx2CI21rDtObSgy0c7peXPhEntgX6unZr46ITmmPL88zfH
S/dlSfj8zZ3NN9R3smgUU9hcB+NQpIcsCytalt26azmXZviay4o2ktTuglTbYQtC8TkQD3hNRywd
HiHfieg5z9VjgmzdTOlJDuDpHcV/rjExIGVdplUHOa+ANKwurWr8o1MWCfLffXzXcMr0oYrG4jcJ
MUgayfghh02EyHCSNxMEb4F7L3O8dSDvU5WoFWRa8OuzOeqnjeK3Cw9Lig76BEfZLijjLWfiuTJW
JzMzlwW/jaTQvSowQOjZm69OAbf+8Bjl7m8JbtNP4xYhlgYbovSvZTa+IxGjC68iVwv12uCegLLI
RpuYDXVAjjJwmLL3eOIiUDF/ElxkwxjytQTrWse6b1lrUPY7kWRbFbFKV4i1Ht+G0OIBIy8pkC1H
esB9myBFAH/pcMTxnxrApIYgdYKAO4psaYv5rUWfk7YrgxZLBdPWLbJrSl/zJIsOZZwsglxZ5pl2
cj00BWF8aNktQC8CqUEQYQZTUwPmopWRT74Fh++smivMUgSIbsrI4gNvltS1UU9AcYC48NhJcWO6
7i+vfEv7B+l9TBGP5eDdNpG8NmqwbfwBLuyFMgjIqDghhaF5adCyxg24UdPDdmAoF4q636wFGmpf
XSXJXGUtOKs7aW3dthTzOB3lL9gvJhD9hfVmerM/L3y2JlVJ/8uyWdD+rkb/9Gj8wvYQtdpwi8Mm
v4bPj0XGmAyjnq6SU6zFt6KQJPCEfYUIMs//+3aHzd6ZJqklpYG76WwzFuAY9MK8wa23ybfRvpgj
z9+aM3cGmHd1qY4lvvnONUdFDQlYVMBIPrufkvR0uGpCW7I+NUu8CNfjJhwXzhyjICvWHH3YCsnz
pXG/7jjtT8Oe7c1UMaUIJETSEz0+oienUJSgMiS9ZvLhJ688+OjCJld8rdjRpLLwtMGfM3Timz5v
I0wtHwKig8WSTLElqTnQbWbRclzoRI/NvJ2+SB+7RfZe/8qJKLxQjv7mtQUz7HB/uW7TMafH8M9L
NdiRBMcfj1hM7gfgVnxBP8/Y3zzHfwewzp6j2VZdMBicH4P4KUCK4l25wcvPQ/w9IP7fL4MWooD4
r04ldUuXkiCezxehCyrX0cjeXe/d59QCOFWF1fvQNFvP6ZdOXK4syTsEoraqk1VS+WSggJLEd08y
6BWbNKjSyA8pwtd9fkcW4WMPPuTnH3m2b/37I3WbxqewdBqG9NA+/0jZMDsMHmc0FCMVWyhd9uQ8
D9pOtdTi3ZSeszZ6vKFGaRtAWzgJV3EePfz8Kz6/3l9+xPlRe/Ap5wvJpoRqXrZmgMlHYr9DVe/A
27k4rLXFzyN+fsH+M6KjMmWYYC759/Ty//OC9YOmCS3D7ZCqJOawFarFhRPB58/nf0YQlknnk7Op
ap+d3BLFpYKfEXweB0AHC9tof9GWp4ZFuvtsRFyyy0eyndrR6J5/vrZvn6nzz9Bns0WPNEoqYkTq
0ACfdBO88lJrN0pHKdlTl4gzFoTSFlD/pf9+Yezpwzl76TnvGyYbfu7v1z5SFGS00nmUiiqCD90Y
xC4x0pCqpt6+wY+zUYMmxb7pKC2XnRbvLY0GdYGP/n6Unnn188/5O0md/xwN6QaPUyfoXTubSBJP
UTrTjkjNHFFum8FSyTE+gUf0sEpY5s7Q3A1hKFvEe9dxCTiUbiKSvJuheg38Ailefd0X1aqhcShy
0IicFaTlLkqILLUr1gTU47M/gqFaRenO9d2VmQAYCeZ95YEDRw7rmgc77/H7hovRH5+qVl85Acpu
Q9k7SrVUxABk5z0MbjOFnlqgcUYctg4Jh6p0jgNsvYTK8AgSDOP/MpAA6FplFoL69+UfonDnbu3s
awLTOO/OfUOs6CmGGUiXApCWjAJK/DVC+VUZwG8PCUovDmaJNDlIdlHZHCx4u2avw1MRT4EG3NGA
rEhFrW6s/6qQ8fdzgDnyvw/ifOG0vawx7YoIWhhdNLfr/GDVpDJEKmWAn5/556n970iWSuVuKnGx
aP7t3v/zaccWKipZh/gZmgR3b055dcvWBbtKmdq9f2Ei+Vxo+M9oBHgwmatwaazziWRIzNB2o8Ja
NJ4RY7nEgsfkDt6Q6De3qC9MKl+vTRq2YSLr0A3kN9bZ69xmpYvipmK27qP2ICHmrnKVbIGOEPoL
+7qvyxeXZXBkMaQuTeIQz8bSags+eVioS7w/hEP1b+JZrFBiryGWzAmA2eBLJdQoWZMvqOw0+Okz
9fTzozxrm3J3dVVoBkoFFijmkvOqil66DRQHZ1xizYERRqdyoW6JIp7b+2GTXbi534zGU+StUW0D
Np+pndWltMgED5+zWSYnZqc9Wvt637yBuljilb9Kni5c25dnyapgaGiNqMKqllCnRfGf97Spi76L
Yp4lPIf2mrRsDfZu718XkghmtRiLdRvSHe6EQNyYsfoyq5MSadQ9dTNHIGetA/M6muTuQDEu1ej+
LvyfZs6znzetb//8vKHzxiKRbMGMWbuITvou2JfO+lUexo320g9zCjjdAvbHDlNeBDTgwg7wy3el
U3l3VIczhT6Vj882T1YKH8n2prePnCE1B8UJjOQvzZVElQtPYrqUs0tlMJNxkBBZ/NfPlxqT4Acm
3NDoKHUa0aOoR7k50arLC5ds4RIJn4tTFf5NqK1drwlBtCrICpdGlWTPKkpN76q0sJ83yXjidaYn
VCLMJmbh5x/69Xdy0LL4JjTbUNFTnR117CCA7Nawto6DDeRSg3QrYOHuWsUp1mbt6Jg1c0oxEprJ
pbf1y4ZJZ2xOPfjwme2w+n2+R31s220bcQLJ7ZithBW8OkSRzGVCCmeXucC3cxCTEAaOid7RajNo
ShWeAowQvwDoW2BucUzU+M935OskNf0sh0aGZmlMD+rZLekNaQRWG7Jz9CjyNFWlr+hTjuShlxLQ
LgBdUOT9XGa1PDWaJql9ymBFbevD91VyvcfYXFmGggEviBJaqZ62G0etWUddTDAYtarurkrq8cK2
5OunLx2kcKpjapL55ryq746JN9rol2lw2/5tjIp7m6oT/QYy1KVj3LTP/PxyS7a3PDDBgsigZ3eo
HPUYWSME7uk7FuR0qguxd5b0YJckSYM+CVbWhTXx67uis2xPKwerFVTOs62vWZZt4jcI8ceaepIi
rRg2bB8uf37230zXDKNPQjUEqDofxOdX0jSK2gsDlCzVEiT2PL5rN+MaF9waufuduPl5tO+uCarg
NEmgZpTa2WC5X/YNmnZYYUpinYj7MHd1cvHM+LmYwnpnIL0TvBAqhwYhxdkKVCt629kOL0bUDN0N
rXyJ/RDrtuc4W70tldcoLdrXpkJSUpej+vjzNX6ZX6bRpRCsRbyVwjhb8ZO2HQtOfdYiMyNlw8+w
byovrnZqloaHoByhinoi22S5Ii9UcabZ49NLejby2XUP3RRU6fe0LMzO/BhLUR8yPSuoYQ9IsIkK
BacV2/6Fw6/+/bBMaNQ5WGrOG5RytO3Oih18jSUuU3xQdYVrhIKWifGpKdNtELf2wcttuGYj8L0R
0cch12P7BkFqvcBdZvzKFCN5ahGk7c0iEL9zq2+x5IXlopTgjlW7SpZhPiYvmajYRYH8wAFO51pr
YVhoHbUydYoE5YQiC1KziHnsxWR39TfpUFa7eqAPbDSQIzF5a/exCkKg4XyR6BEJMiZsT9tEfNcB
B7pRNYcAUMVwww157Nhg4qDfWJirV5P67AMVDtwmwBnwx35+b6anc/b0KLxR50Dgiw78vB+qkB3m
2SWFDs/AYqWQZJwMJDxEJWVfVaFs9PNw3zy1T8Npn7/7TouCpoeExR22xFbrqnahGoRSFEGZ7RpB
xwn35aVy2NdrNHQE1WyEHZ1ZVJ69oWRZVjQYWP/Yip00Oz/pQQZX0sYoWBi9ceESv84Dhj5JmtGJ
s/2RX3aio0O0Y4vhFvX/ziCEUjh4gkPig50NaM1FAGJBG4YLo55dI4GelIjZYLCOOkjIzyfUJkLK
rDc5VAjVwOQd0Cmb1VUMFkqRSLjyVoarnx+lOFudvgx59izRcJBd14XOQvju+JpMXT7ft16JRKnu
Qj2yZyQVpnOtqvV12IP9jgRKVJkWJHlXpPMCfCsef/5JZ5Pgf34Rz9qigmE4xvlEL4AJEC5Gcoui
TEwIR3uIOvuaA+SbJ7y3vjOPk0T35zHP9gP/MyYdJM4dfxfrz2+0G+eWWQaDu+igDxNBjhwNIlRs
XRhGnH055+OcVyQ1gGAtsh2XA469i5IF5zlOclianKM1t0hFImxvVs9R1CzcC2NfGvps/Sy6svSN
IbXh7OcermIO6KswDMungqCzKy3zy1Ne1Zd2Iud7hP9csWVM+CKWVEs7K2+2+YjsybHpeQuDnlsR
4t8MywE4mgwC+l0RCAWlwB5MMIq+G0yVnMPa9/xnKM4eyI86E/8fN0JST9ekRj1KnO/9miFVY9UN
FMICDAiDylus0tzyvEMUFPvR1H/9/Gqd7Vv+3oB/h5v++T/HOCFSK9dVhstx9j/aEsw9AR3ZhQ3t
t9+x5IzuGMhBMGCc3WffGbrCMgJngd5uGZ3YjS2yD+NIcuPefmr2/10/BPkSMxWnkWnVRq1O7+fz
Vel9oQ9tgOOTtkV3lcKOfTC6uNtL5MNzFvH+BGdGP/18Ky37u+9UTrtN2xEUdfWz2UoZ7JA2r0+a
X2hsGxcUeSsPZr+IlEdeNDzYs1Deag3pUcDkdQDqiA4VmZNqR0oiraEYzih4VVDkhdgw820r6rCj
xOtWzDJkuNqjqm3dHLP2MHfKrR9UGw1oe1pioH1VBSXE4dUhcRVMkkiTNaE35IXA/MTZOLiz0nPA
s2O20zZoN2Wy9bBKykMPVIcESyM9ZiDUwUtU/Gfbblu69Ck48zpVVx5/EznCAC5flfqoV/GibjkY
lXJWouY1qmtcISsZvLpg+/5inShvTV50Gh/LoFF38bCte3QJMFxTwlkMdTVxn/PJ74dtdGLRFkym
mdHMO19fcV1A9voby4dT+1q68Dr7dNGWGC6amwHbBGknEFtv7eEgW3KNR5y3/KF4IqpDpwmRtmT5
XuBT7ptV3vs7C0lsR9RZV4G7mPCi7ksH8o4Gui3hBhIU424ptBIzJ40Ttsi5Pt6hty7xWSTeS947
y6K4K6zrioSBoPtjAobN4NxI95ed5EiV0Zr7+kOoW6cMIFJnyk0j7V2fXgHz8uV4BDjOjuw11Ehb
osSfZs5eDUNEwXMv5L1oqBDEVxra6v5W6a1N3jza8AE9gz61uoG4nzT20hKAUawtiL6yIiMmN4hL
QhPsA8sYgRIvPHOvGIQwoS/w5cIeFwNSLSnefWeCcXs3KczdrHnwU2+Wm/rMKAbCtsBOwA/NteDW
L35FJXwh65gpexFtGv+XDhTCyiSQp19VjeMXQ1hlWCc/PeUDbQM/xazgbvPqOs/LB57IJFGNl6l9
2zn13nZWJXfcZhGuzRsX9AypeGg/nA+2XoghANv4S1JUQXeT46ZysVgsR6Bb/WmK0MyfBGSKUYel
XMOtYqGvM7LIgVARM3UKNcBvw7WDjajqlaVtPtREa8oleXAh7Ju82OUm9LKuL5Ye5OQm68lbUyID
BQB8/J5nbPr7hljHuvK2ZsAGuwPrJIslGLA/iCoJYDzF5loHJNiXwJ4EC6ECuyh+0aytrpHDTuDl
Bvn9nOIqsDM6oD3fS3jNzpv3bZbIO1KXVO+PHa0Mv57LlmDw6uSMLyOOM0GPD3S9rS5UdZsSwSKN
d6m/kwG7pVsErHMLzXmGZX8WAG0SXkbysfvsVNVCpzYRIjog8dVrjKushjVSMgeghDf3VYzSAul3
V24RDAVk86oVIuGCRA2b+B1v7bC2qS5zylNb+6iI+WLEdZ6+1wZqb29TDkvPXasApfywJ3IQBs8N
vQ0YJ9EsnXTXzpTFDaEmv++LuyRu57320iTkfuIgGIR7XYLfTUGgG7ytBvweSI4e4l4j+j2qNzp5
O64ECdw8o7InXq7qfqsDSLpr0YLWxDlBpCIc7iyHV1PdWxQeivQ5Y78jUNsrZL8QbWlCFnOvu+o0
RRCLvifsxSeqBjlQu+oaILKBiUpKXWv5a2lHhHaJRQUPycHIwm75wU9eouhGc8jZiSzy1+qNT5ve
KBExw5AG4EfQnpqQ0yEPXUPNnPKV9mKlbwBSyEsESo/wY+ER7FyAsZ+E4liBy25FxoGnRVM4M+6D
33peAerbU+UHihTMWxVmlf8giaJTxNxPwLOuvfo4wI/ILDB26u9BvAq4GE5zFQWHNN2J/nZMMaxp
vLhiFyvxpkyKF1PHgz3qW7/vn91iWEXCegj68hiL+x4IKwy4JdkCcF/Idhsw8OuAdOBTaB4YaK0E
UPOn0rhJbUHRapVHR2NyCwpeXNwyrmrTaEGtziyiHiVu3aq894F3AqOkNpN2e80EODNuCnPlKy+D
Z82sLJoPbbwMm/chRC7HYWAHUZGMkN7bFyTQ1yRW2Ws/XRP+PNN1k1SsbaJsde+ojA85kJxAPxHM
5WKnqIrxBv3c1m8gyAzqKs0OCPRKgCuD6V/FGnyUgPTw3Fub3kvYx5swnlXNjIBPOIl4zol2Xhma
tytybUnO/AgiytQfcmKp/XRr4wupAjDy3dVIHosXb6yOdBwxN/NjMyYcpaH+wswvWlKfkLJpNgC4
8C0hEiNwetgemMAhqMbhu+rvyXfHxGkxWQHx84KF6JBGIbOqw2sX97kCX1Dz3tq2RiT1HE6REbj3
TPden4gv8ZvtaxsdelBMmmQowASOpEoCYop0KO6Wzjd78qpNj1M9M9/cJKemfYuGfQ4zfdXTfB91
Z50OGp+tzjI09zjzDRmrGsw5EbK6EnSuWquClNls5zWnCsupqleYjD6K4sEnOrvwPzTP2dhjCaLi
RSRP4EkV9U+X33TmTR09w47qmoakJ+CI7V0MgMibEHMQv/EnKhBhW/fo+1tRG/TEdyxxrv+O3Kqt
7qzqHg0t3JergOelq2jhHZy88o00+lkitAXvB11eqnGzMgeQHT21aBt8lzwq3gAqgg8DheK0eGrb
B8n9HqUDQx3bHZZk749u48j8A4Q8iX/7qMtGPKSNYKELHzzMsTV+LFYRC/JAhB10aDrgZrc+thK3
OmWZvO9jVKQJOXtOuU5Ik6Emw+L7WwTlbCCnN3ZvROvOsIAs4vxY8URAHkOkI7dw2msc/IwMkQDX
ZkD3E6RHK4Mt8aAb2KwzRY235RQrkk8J8ssexikeaUS3y7onyDchMUIvkLkhmMiSWaTuK/Y/frLU
e7HzQ+CX5r1DDMEEGpcDACSNl9hI+sWoPCVqcxyUck4QLS9Et8zynUmcd6RDEaBo4qSPVIuArgPH
G05No3JaOTTGmxOSpGhdO4DWRfQK/bGqSE/I9uNwb1pQGOqjGiPQzOo9BAUCIWzwNhD0RbAtIuXV
bQPm6u53l7XvWndIbeAw+nsJPmYklgYLh+3dlOIqYEHohy3AEwxDKUaWkqxTy37tsMwmCPnG95/3
1t/trJEZTRUPGvWouT5v6INIi3uZEsbSxATgVPvKeCyGC2N8V974d4yzo1CsE8SrjiYx5JwV8IeG
4bzWJU3boALeOOx/vqLpb/unKPb3iPLvaGfFVBN7k1/quYOc/tmoIJixGft5hO8qFcysWCwMFGni
/MzVW13lljlZVinWDT7A8Bc+2O6JFM18EUjbXcZWYyxqypn/P5dGz5JJG8UQBevPD0uJlNGr0CUs
UhbDvVmqmGrdlPn45+v7jzrxyz2k4WVrFBWRlZy9FVml9E3RqLwVCuEzvIsq4NUGGb+uNNshCzap
iyYtve3Z50BLGuo7D1SNbvFx22Dfizeah2sXsJSSUteoryLc+BIjsVBecTSTXbG1y2sVBmZEymnu
O8smm8pc2D3N9y5mg3QM3WhuI4YVWHIlPSyHlDb8F78pJjzKARsj9DDE9vBH/hjIlYdDqV914Yfi
+Uu7Ar7vdmwWoA0qp8LYjwZbmryr5wmRSr0PnQWNcDpUyzTdF5qJDXdlD7+d9kkCCiiJ21PINA7k
jSSjj7g8C75Mhn61hP2bRidXa+GjNGim+J/huM1rciw1WKhVyO9E6pIy3aT20mbHRoQPhD8BLNsb
DnQ2a/eQK8reAuCfVNFBH9tFNoJbaWk6Bx9Rfa/DKikmrz/q9xX1mji6VZWr3n8KiuYwGg5WeXTg
Gv/AxVaZX8f+tm7KPV1QSPP63JLO2nKoAoi3XnkmhRjXigQKq9xzHlro9ZsVwkYt22VMIHcDBW2K
SA60du3HBF0x4bS4NcFAYkB9HyvtlCXBzeBA9SoJ8u02bmPOa+nhyvX3CWhOCEcL2aZUA7R5Wj1Y
4ldRv+ecYFuT90W7SznMZZFKTvJDBQZnzAxUzc+IOTGsgU4hrs8gSs3Wbk07WCbVHbqKuV8dM+eB
Y05c3ITTMWsk6+DKJvTJ3zVaAZuvXGjA3Vu3u6qGY2X9UVAoS5UIr02gPjdqAUrk15D+SbQBSidb
LyTtii2WDqYECTI94ezvgqC3s0engHSXemRD/pZSX7ckjRLjvmgNSHZ4Fc3IXRZgU+HiOeAF+dqP
tPpYhqPboSIxBCYU4WXhuoX/k92SwDC3i19GQ9roqCyAG1xNKYrlr3KiUtnrvl0q5sro7tRiF7AR
CMjIfim742C9UQ3oaCJr442rbFRd4K71r0SZryqU9Pj7FnRhYX+yWjbrMn6wRoKn2npmBQVAZTZI
9Kuu4PLsmtE56sOflJJAl6fXjf48lHfKyFamN5ZCDa9Mvd1V1ovhEUCYblq2WpGL4RouOeEuHA4b
XN01GF4zF3Nvgg1gZEYH1RIIABtcY4dRWfFVE2hrTnQrytYTRuvC9PPNkjRJX6jsmhbyMeusxlR0
csCwT0mLgBaFDV5Na9u4VDebKkZnM5xBxR1pGiIb+idndbO0s6zW9QRcAFMRiyLWHU6LxUtcxick
3WyRorsKYyzk/X3TNN5czwHF9q15/Hmq/aY6C/nG4EBAx1ajCv15Rg+8trVYBt1FPeVKCSoQN6pa
mI8tzlVS1x2d2GS6A8Py52H17yrShv637C00DfH92SoZ9pqv62SZkC2SzWk4zEt2T8VtMbDXExmJ
YBAAO+bP/jluHBiBNwStzHqdYM2UhOdSWYX6jYprP+EUnlbwROsovFUzcavnsloSg7O3S1SWjY17
rs3cuazR/WvvDdGBQQJISz+ic2Z3fa8FryEsOxcPSW/t4AUsuv7WaKpZWKlEbdyZNmjXiE1JimM6
p5zHiVZN8QPrMx0kiArLFVSurPn/B8yHXqneauzNw4E/HOf5ugZhZkxOC+lTXnhoi24VUUPwtKUJ
AJC1E+z4TC2pwb92/gen2mUkn/T+pivvPeXFg0ASsxDY68a7y4jQStkAVi+RvEI5u8iIGQcn79oQ
FHHtWGCY2VNulWlymZj/Tr/tqz9KQl3QJ3q2GA+WUdyzjUPfWL6VSXiVpNBW4+xG70qCoSBLS6t6
gVGyVUhlNEgCyox9X/mHiF7NLFPUfcYWt7buotxfAQM5qVEyazHDV722bD2xDHqNCCViX2sYdlH2
ElGlsZxm52Y1cLxmIUZOzz3l28xej1WNr8nYabX9UDbiJW3jbQ3e0ZLVvGW9H1roXeYpN6tV7Id4
q5+s3J4HEeaO7NcwTPklT6b27tou08XWaQwwlLC6urWS/Taqx7io9k1PuKjhkujUrYeSLJ0IdxWF
g6EKbkqV6kqLsoxkviLQZlV7Sup+2+nEjtWrVkBhHXelwaFgoxBX6acs4dmwR+s5F97zwPEkj/t1
LAzOJHSliCIL4BvG0b3RKAApoWCTmmC35R4lKkWqjmJPswZg3VMdoQAKz9LmD3Q6dSYtXATWteoa
s9qaWDEU2WAE1ebMCbaZ+dFhzKeCFtdP1vAqeLhq+RDGxWzodhBplo4gpXXtwz62BYDR5C1vtzDi
ABiQY7/l7MKG2gE5khHkbI2/rcK8UQRAadiXg3HN71aMfUKeObUKknwV/WmIDs7wVmFvG9a5yjdG
grnLYSeAmuzgPbiT1HKkf0si9DwOqTGRJtklMPWJOs1IBLWI9Ivt1bSfqvw/g8vn0fHE7y01OUQg
9+ddQMVwlhY7E2iwqNJ1Je7l/yHtPHYkR7Is+kNDgFpsnXQtQssNESqptVF+/RwWBtOZnoFwdPei
V9VVFqQbTbx37z36VySdJvt2oqLizLA0WXXJ7yaAV2r2AOzCYCvIyExqz4he2pj4z2DRqAecRxzT
ZAr/xPbq+ZNZ/ir1X6OhXEW9RkHYvBJ6vw6k5YBUbky3k0SKLIe6Uv7oOZnT/38nqZW13l/SI3uO
qEFMHDhrH7BqCP2PZODKK5wGULC4n9J4bcXUAsPrrtIoeB0Sf1/L96Wy5hZ9l4pDaKGRA5dQu6b5
RoqTmwGpUfsP1dpl1roa9xUJCc4NtrCquKnN1A3AovBfn4DwwWsYWUZ0ILNtbbhmXEHEADeW2tQa
oGo/W8O6TafVqAOhnm6nIvBsmwuN/zLqtSca9HgErocmVBbhY8IDXArGruGS6b80RGgYVbQgvSNv
7qSvkRtjonlKBoIrep+AeQ3ETZMWxlc3TxYRPZPhG6JP5OhU3YzlKeYYDZ9LFyTuDNupfoJZufHj
6UZypkNsQSr3asH1nXjLnjc6X8DXmb5Nwgut429uP3/sHPNt77fGlpRMpiEyWgEEc4yrVIFHFQk/
WepaPK7ZN2aRs1x4hob59udd68wE9E/3ifb87KdC6G5wa/1z6EjXnJGEYMcTnhQsiTdV3WQDsXXz
QXcgctbRJxCx9SUF0nfnEa7GFvZ9Q7Fxx/w5KjXi2Ki1xPHs9jYunzjdatGF3veFIbQz0eVYS3rd
VqqPAChX9l1QtYQcEqSi14m8/fklfvvz/etptLM7pKgaUeFHQfGDQoVQrnpPhuS1H4qvMi5v8E0f
rXD4t0w///e7/TbmfBj7bcqMiVSMdp863qi0lasXFi9ythPKsWj/y8c7O1BBPBVDGPFjccCBe1cQ
4Rmu5PJBKk+heJWr7ua/e51ntQ0V3dToNIzngG5XJNGREy8fJy19E2xJCHNIJ4vj6e3nUf/Ro50f
X3UbISN6Cbw02tljpnqj9qqBIQIJHunkbko6stsesYvrC/sOFhvJZiQmuc72klh7nu1/jUxRQMOb
Nks/z+aPFRjKJIgr8BTrDYTkPqir9UDYvx3DozRIH570g6qQEnXhiecn+mncszmUa2ovUvhI3gBa
kuNWQa589KhNzRbG8cqpHk0gEJZfvrZl8wYuveNamnbUMn/+O747sOuOjjkPhYqMi+nPqexgGdWI
DqJjqtapl0cj54K+96rO3sjg00qJ/evnEb+pZxk60l9ZZVw0nWeLnkxIrmIWueNldBJ8zDu5dmGE
b1ef30aYl4zfPs+B8Ox8hBXoDSjIUCouQ+rCU1h6Pz/IN2XAPx7k7NXVgyInEhdvL8ZpB+/OVSxY
ZnTLCFK+sEd9Jz/5fSz9bEE1glh1JAudguXP7F4Zw05WQhL0+zBdSnqVL/W+ivedhaAe3TEE0GaA
Raw5cBc1XVzSO34zd9mu0HDrpLKgK/vzBY8TtxVF8NfU7R2H/Y6C9c+v9tv14PcRzpahYAiUNMMQ
44H/tYhS0LtVTUYEmIZ+eq/TSFqixSGYpe05utTkQSj2DaW67DMrY2VZo6+n6uSItS7BnW9Dy1/+
/Af+PcWw7aqKgXsXNTsxdH++Ab/LolHKE8Q3dXUF6OQ2ohldX8xg/fvr/GOYfwx6v83ksEohqlux
5KlRwom3Jeg5QNDx7kvv3E3d/+qZlLOV0IZg7diCZ4rIDmqCrxSjaUVs/8+j/P3VzI+EmpuZo+jI
fP58c0jkUWBPmeRJWr1pmpImEuY0soT2ei5//jzWt7+Sjs16FlsiKJr/+W+vD441uWlpiWapxaEr
MPJu2py2e6w15YUv9O9Vjcf6baj5sX8bKuq7whrTQvIcSIdDYHAdEv/Jm/ttiLOFswJfpvo2Q2SZ
/6kU0kE2g73ws12cjhdk1Jee5mwFlaO+UCc7lzyzKle8W8inFwpW304D6kMyYkViOY2zEYDZQd/M
mNmhoPtmzaSgDHalj8Lo0ntTvn0aE2cySkx2uPOilJ4F2liKlJqki9o1x4TmkXOywVxJPXUPA/sY
eJeEZZfGnP/5b/Nh6seqTmFWeb2B7mRaGZLj/Ty5v9kTmHK/PdbZ7LYNYpUgx8+PpazUt+aYrDvX
XCiP5pO/bC9MPgxM/MV/Hlj+HO5shhM583/LgzKwECsdTWWJgn6vDtuEOjzkgrjNTnhDQ7cQ4qsZ
6z3bz6FLzaWJMsPH5qQH1IxbxCZWjb6r00+pQXytmiMPbmO58bqekn8e6AhWUs8IjJ2dBbhdsTlD
6M4+FGh9k9ECXv8wTdI6fWOdFUTMOUn3YU6KG4loTWLE2gwJAczqVS8XMLrJcqEWrJCqIGn3sUwv
QD3VdDZ6gtGblnI60OEoEARwrZxepTkDhtGsVqZ9nxiV29CG7xS6uCgcyPKP62dQdkuoGsskpXqQ
QVEOIfJSv286wikdc52rx64mcy15kueGLr7gsIlWQ/Y8Zx3rQ+MmFWmlvr6YjGWspQurpO0Sf+jk
cNFC8RQl3ksZ3MN69LThOnJCegXjSpkFAk4FOp7KLtC/BRARD7gq9KuYUpO/tnVpFdnSsvW/NGRS
Q0adpWd8G6TXYNL/B/rmgzbkkxsoCpX1qx4OKws2GRrwrTTtDfogqlF4nbjCbKgs5Ybsd58cXwsb
G3N5pcJpzGYusYFfy4nxKNdJtYn9OVVBWwYwxYco+5RhEarWQaaHIU/1YxHLgO7ovBG9sUgocmmQ
sAK6I8QbnupRUMwQ2U1eDVeqMvITJTit8gyii2119xPNmugtJ7fHQD7j6Nmh4fZTkKyCoZ/HtK4z
2b4TqXhLW9o8eeTVXbwEMxO2cNn4jVVimkTWnmRxEr3YOibqTsnrsJRF+TMQBg8l85JS00rhVbHP
r+JR8VJCLKGHEmxZLyLlNq1Jtpm1F/xMJFcbM3lFvtSC/Ub3On9ddEFZEy0DksWf60Uoja2c+vw4
dizRlVNHAdoCFHOYaBjMiQ+E49boz5ZURb/SIYzvkTwT8ag2ZbOBJ0QUjiYIjb6wxPx9SeGvwvgx
q55pXpxfjjQ8ihEdNskruBtsrZXxZPeLjwaO2tJEHLQgxvrCIeT7F/HbkGcvgiKMagib8wGxZs1y
8ExXpu3qwiurV9My8ySvudCFvjjk2XG2MAxtkAKGFB5aPhe47MbefiRbc1W7aEK3P7/Ub3cGR8N0
bRkUeM7vP/poBAk8EckLIruHOCakIxeW/oJc+5/T2l/L9W/DnG2wlhlMtV1z9ulMAFartsppfddS
1iYkzyrhLc324sYaNf9ggv5w5YRyp5ylwbtjRerm50f+7hzG1drAkyCrTKSzFzySkVq0HZNbyQ3Y
Vi3cQDcXDaJEUctPP4/13TZF99CcBeQqtbWz82UsYH6ImOcew+nTCAaYyLOoVzUOqg6OwS7rC8Wg
704yKtAA/G6MZ53foAnlGxNByK2H3/5Qmp++1XlYTBYEoFzYg78dCWU9IUncr7ge/blGTEE56OrI
PK3kVx+lcBdSgWrhgdbD83/wEn8b6Wyv1zLwmNE8R7Ox2ihR91jL47ZRxD4m9NkypwuT9dKDnZ1s
M8JR615hmelyX3fjNHsye+O+mxWsQA2K//I1nn0Z5exYCv85qk93uvQFypQw/pUjLi5l333p3HT+
//c6uyQ6vtyPeN/ndUVGogd6cxfsYhK+scwW1+RIRJ5R/LumWfRCOEL+Ner5nVFPwpgUMX47tYPl
o2tvXSZf+L2+ezAeC1iLQyARZtM/J2LlgGpArswdblIWcvQ26g8/z7/vFozfBzibf5Ohlo2eMYDc
exE8r8reNTgGfh7ku1n3+yBns661Elv15dm4YDd4KE/AKpaVMiAQ/vcSgOd6sUoYxL/e19mM8xuj
cYqRkZK2AOJDViHujZ8f5rufBEOhonOZIglCP1v2ympSKnW+DAQkXrlwp27tXLn/eQxMRd+8M9oV
JIIaKov5X2kKeNrGDF+r78kz1y6aVlP4kNbqMub0ycVaSmjPtdt0yu9bs81c00LDrxsvKoLsum93
UX8YptsipqjLtS8ytSvf7zyn/EqnVyxVAEs1z5BzCnYSQkoVSRj7Pl17O16M+p1CWz5NyLRO8Lzi
P+nKfDEGVxJoM+nYNw4tLaJQQRVaxRPHFnpx5b4AcmRDnEsyOOwm+ipa3Lr6HOKNS6aYE+GvhIrd
GOBNtOKrMLr3M87YNMadlGq3f9tH9vUkTy6xaFEAc6xGBY1EqphD/BKvoqnpJyBajP4AAbUqxFKB
d2op+5bQTDt9aKulVnDGnWjDDRSnnjOOjkp5q+n3OfHfphEiTdp2Ch10qIkRDW0cdbgVJsPVmzti
Z0X1gppxoVm3qTq5wnzrE0Fk6VOqvlU9+ZoVSGUNAwLmGu3BbEhjMnnHyq3Tf8T61ja8toBY6ay6
CsV/85wGN1EG3Dbb6gRexqYA7HXv0wyOqntRfkZQYUoAUXpCZP/zoCB31j/H8lUdZFALnUcCQkEe
EVc8C4hKWnwUDULhHnAsDqFun1qHSoSusIqlXmzkeGehAAjmQPxcX4b5jI6Ftb2WxbsgCLRuWQqD
diNjKOp9TzduqO0pxZsmXiX9VJnWMuolON1fPjwoC7EBOnELuXqtcWXXbpG3rlsz20dkpuKzhY15
M/X9aZKBU4K4nZgcAxLjEL63kO1NPz85HVv6eTalBgRDgv+eMdGW5RfzrWeupWo4urYML8t/r4QP
AxWdsN++TcqvoUqOaJiYKDT4bVLCbfuoCh3dB7QErH9KmOy1CU6bwgW3gi5MLrsE444MzHtlyDa9
0ZCJdCg6QgVR8eJ/lTvkzJA3A/WxITPeQrygimM7t/Xf/MQDiannXNeKrTo9FHKz0M0YyfxunHmR
4Spx+OdcHvnTwhDBk0OWB1W7isVMWk/Zu9Xhi0kWXYOoDviumbha/0sbDoHxEQ27vLhRfK6CWwKt
XCOclsSRaOHG0MHowogtanIDLHSCZr8IsoPM7RI5gZ5t+yZydUQGg4iXjvSRi2eFzxgJDOZzxgJo
0/2SB83DWrKYHRf0wVN0Kea7Q9Sldi2hr7FHYk2xFNiYaUbpU1LWrQp++jZpgBtQkTFuRmU1TRuz
fEyUK9a5hWai69pL8+pS3Q/yk4U6rQtOxohGJ52u/ODTp4igGc2y5yYu+c21xryVNBSIPi4uHEFQ
FrYg8fgKP0u/XiS9vA2m20B/GyVAFNFz6vMWBqaalmD80a5HjShghWDc1zG4b5TmqTTFtYXIvVSn
XRC/KmW5LcMd0p6oX1odgu5I/hUqBFbaNY2iUk/2qp8cKYvn6OqnL+Zrin5FwqZVgAzN1KMKKX7S
tVvbem65Avf+XeIfEnFrImMAZKsUB2pU1Eed9n4s1kFyVKbcTZqDWfRuLhE/HFy3mGiUiEQfwZri
cu3tEej4G1V/B/EoUnldFz0K08OQrK12U8MasZDUECzJBBL6uyw+nPLGcrgJo8sKYDQDjYj5V5Lu
bYp5j3W3SIlaniLWOcwH+3K401F0FNLdoBZEnn6k0W2kQH4PjhaOFGWrhNcCJ3vaXRFGAr97GRkq
FQqTVHNMiJHX1J811esuIIL8aCcfY7JzlFORnhRoqnxpnbOumowb7WwES1xS9TzJPjrdLg0RQN4U
mQoJ69QSOtDp40Lxj2q0cfqvYdjV1lZL3vTiLRmPVnXsaH+UlCz1J04ntukS7OkmmPnCUV9rOAeF
8YyHqM1vRaoPyBaNpdGwRCHZEbEKCfK9E7yS+CGEgGgmJgGGG0167mE8hFRtFJ4oKUCY6iXevqWg
91NC4II2uUOjyZF8qY8VaNJXEkuxwoGXprgIVdEfR4u97Cae1TsdO09EIlK6d6i6VNzvF0OnewoY
FQ0HZMYLhtU5Vl7ctUj+r3X7Yz6VRMACVVyC1C17Sjp5gVAJ6UcHfvQliF4i6ZdETy3OnkbnKq+u
DZbO+iFirsxfKYgVpcHVsLQQ28q7pP/onG3jnLQJIRgoVKuAdzRyQZpdlIc4+oWWv1K2RQVEq+Ir
JXqZ6sd4ykh/jUZqKyNCmvUYh6Cht37sLzuVN9MabwAuF0n0pQF7BokN1EbNyfXWiKeDbT0EG238
QnO7j1qNalfcPyrMOgUeSIYjlj27gmNo0gauN0oIGxHeM76CqdyYSQ9DRhxUNLizKbIJMCPNeZdq
cvAlr87wVGLzCz/b9CGDeBJ++qXPz3sdDSipjUc62/u8Sh8TQN3OyDfUAfg2n4LxLq4e8vouFDdJ
8jqSG6kGE9SfcJEY/gp53UTyHT4Nt4SWU2OdUeTXbJzWmCLYc9UlGRxLofLfKt7KzEbOKi9LFjCn
BiOMb6okicBvOgwbbQxiMXpGkojgGap6H5H3jc0FULDBJacjnjsK+4OSNvu02crdJo8OmnPj959S
NW0B0rkGPhAZgi1nvEWDV69Jm6skzHnc26EjjxhHmTx8pPZJjd5EyBxr7yeD54jfOvmtCctV1YIv
71hazPDWZ1nHgUQSAmpQoPP2K71E0hb5qVE23iqG20qrRL2OSxRBXoHE51SHHlRUu1nx3UvOGvZt
bewVqCu4Fy2P6mzdvyXlvWa7Uolj2CuTpYUqMg625YgELGR1XRJX3Jtu+h5Wj431OUpuBHjVcBN1
z9cdSKfKZ53xAmU1xAIx6yESVzmOVYRd5bSBOMxG6RopTsln2TyoKP38N/gveUIM4Ao5X0hWs908
taTqwOCxbklIRn2PDnsRA9bpH0rcknb3UChbh3LjmN+lyZURYoDhZLBqpMeI2FCxoCNfZNeqfm8q
KJp3fBac+fCW+cl6rreSiKkWB7va6PZWhjWaDctUfwn5PuR7iMx9x/O7UXEbWe8192aMmaSfqtlq
RFim7YQEddqaRfoF3tCCYDIQ14ErpWRP71LjOcWGXVs3I8ZjUsIoTKteFWcExVtgkZNFORpe3zxq
tVdF27ICkqeeev9Ja9d+dcK8qPXXCRq86bqhJp3B7ZbdXlnn5peqvaQpPrfFwHnH+GJma7SRNWxm
rGGCAqiae6b5pJnZou7uSJ+h06xyM5qOkr1GFZXrV+PJKO4ZEsN6yRrck2iNNtC+k8tyQQqBDgan
Wur5SslWwjjawz0oCz4/ALuo+5F2TuKEhdvneDDrvzGFT5skXPf6RtOfWnVD8TXHetfjAf8VRkuO
XpSvFzV+ddt5oaCGav1F+Lsg2xvNTZWS8r2J4jXIIhaJJnk0xbG+tsojH9JYHhrOB/VOUhnBCxuO
Pfuk2XEl1qQXc9qyMktPcYKKUfr0iQScTn79Ko8vOPxMFLjaARGjOdzhMPONU5dsLESjya7B1jnd
NDJ66ncEsRwShtd+ulO0ey3aFTLzaV+mr5PwUuwiXy0zqQiPZroEollPN0r3gl93tLeYxsrupol3
tiKBX3YbfTtRhBArH5dA+JzM1ovtyClGM0hrXyfVEivwBFXrKWDqpsJ15L1KeHKXPgJHZH/s5Q0c
gNEAmnUqBQ7dw9Q+1rNNeWUXOI3/EWLyS/W7sffY0kPw2pqJa/XZsQ+pf9C1LYFnlU1l3YDP7Ykk
zDw9mSiKJySnC+eJj7vHwZ8E+8B0zXYN6QXB8Y2frYbBzYhMDw+m8mxB/0aMm6xj+z6o7uxohXNO
VjbluO/7pYQ3NN/J6k0HWtki5K4BLr+mzgtAWZSL9kGfuzHLMQJ0lWxUlUMAgYC9wHNyk/XdwimW
YepavuraKbvIwUnhwg9uwvGvK09EBxjytsv2Pt2SdImBmxPiWG/jfGHYJ1IMRnbBjNBrZb6zPdnR
JhIJ0KU7eVpjji/5M/ixK5taIWGUC7ATzU1ZUXf3b8Tkcdgzp9JLxY2aryMDg8chACwp7fKeO1Sw
b/RP6qlK9ybhbhTOu9AeY5I7mz3H4MJ5GYp/YORqip1wHbb8YNs5IUTvDuz5YBl3OVeT/NGKH+qO
u9hCJWF+LkrEGLEtbMSLbtizkjec45kWsnSD19I2j2X1UORHjTtwevKxKDnJZwbXjTaRUx6zaNU2
11Wy6+Urrbqx7euQIF1/7aQn8vNiviPpPpe5U8ae0lOVDQ6xvYzxhoj+Cbn3HPDGUo+3MswBsq3M
NlpI1oQ8QGukZWU8de0KIb8RLvF3BjprwKKguca9GwKs1O9RnnJ7z+ptxifMzxuHX3J1R2uuyR7V
GoPSnD3QiBsTTWeyGklf01kqFz2tDZP/MUEqsbNbyB8eJOSQox8x+KjeF0W3Aa+uOTh916W5Mexl
QI5ptqn8JyNgOi3BhJTwr5GsyodAWWsqrEASJvC1L9RuGX7U2qmQyY5V3Db5rF96LrYL0Vxj5Bos
3MiEYO0He4OavabugDc23fV0IurHPP10+gWYgH6APL0KnR17Oe0zd/DX5nijwwv0V/n4TAKAYrt5
9Iz7W8rpKm5kbRs5D4O8VNWD0b8Z+sJEvqFg/MUWxq/FopUlx95hPoOgUO9Nh3M/XPsd/OpOelX0
gxE96MUdu0cWbWIeiP2j5nD8rk3aImy9od2U0lUTXRnVDVUPagnjuBpwt3BWq92ag5HVumF7F5Gr
ZZu7GGtr42bW0ap3pXW0HTpJ1j7Pno1kRbSfrJ16hUPvWtgbOwYIJl/Vw5qDmZ7sDLbxiSgC0jfo
AxX6YnCudfNDxKze1zYiRRsfO15rHWv+cgDGEWXvtfPY41qb1llG0vHK15+74Q5jnTrcjOky6zZ2
Ma8PhbJSmDJ1/krdoul3gAX58fXqJCXknvQfBSgwDt7De5od0vFFyd/K6DMaXzmG42oq5smLJ21X
p2je2y9cFKW+8eWt0lyZ/HuGsRrrnV499aMnq+8Z3b0YQ1DziHEJgXZhbmN7TypBR//S30zETVvO
IgCBomBiQN+FYtvh6PLqBy8W9/Pp2VDufH+Jz0T0myitXOJRQuXdx0rEnQNeh+QZA5Ga20F61Ww6
rCv+Iqd8bsx9Z95a2OPDDyxzM/Rbc0OxrpWTpa56Xg+sRcJpUa1LO4N/2p4mzVOHNfeQ+r0OD0G8
1qEOEilwN05Xcu6Fw68WGXYYunJ/J4zbzFqZKdc0chuKlVO8dQTJONsxOznGK4FFHH+EdaqV58I8
qs1JnqheYJoL7pnqOfBm1pkcV0qe32bGClMjdQlBNa4kc25TVI8aNaKGuaAEr9RSwvDUG56SFp7I
CMXU17P/3MkUT1L0LYRZCaRkjvO9qLmQ4tUg45+5B/VuRKvgk1Zw1cu7nkEswLYYLJ3+BTddNjwk
zkrvHgNjn1vvrfygDXureOtFQoRhT28XP/S6G650us9y9FCYv1gPOLpr3cpSM7cY71ru65Z8ZZoc
L57lrtoZAww9ZcQUfAWDrx8eVOmgOp6kCld6CnpOJdtAeWjEexbchZz+Vf+xyu4I8zTUR6FD/lkZ
xVXnqItRe2mI58gMzU18JmZzYv0HIj/Url8+NO1XPN5J5gaDc6BvxLTvwaOwKTT9rY5srd/r8XGY
nqeeP1NftWrrTphySnMtORthcKJIqcIwl8gIgiO6Vrtdpdx26ksRr6dc8YKYlJiVzzU3p/zoVly5
Z5ZzZWw7/HiUjxo48WQd2tYny32Q7xua7QB5WvGVxreYnRDwoiVoxdGfcCxsSnOryus43fpiPwwP
U3I9xI/pSHhXfArKD33aZPKEhO69HX4piCzkCpLXoazuQ6QZudsIcl9w0LAXGFsoPKl90KJ9BsUD
k5+6zkgsx6lYUTzjAO9ztb6SDWLH3d44CYIP/UVVHvr0BhufQM8AAw2zgswBWK1vbXwe8aovMAyB
Ob+SMmq7FG9WUpS4ZXElol1YrGJaqHTnpRg/xrLgntKsI7J8fP5iTL3HziSsG+uQ/BBkO6s9BRo7
ENG7G5PoieDex+MZIHL6rJvn2PiMMrYPryXYtNvbyksT3PRUQ0ZM+Nzw03ZVVDdZtiJgfTGUv2JM
K5a0DjB99tVuGnZF/MK9gUvwhEck3DfFtd1eB8GuIFFF5uqse3bnVdRy88dCq+bKkGe1ntEVxF4k
5Pdri+SpYuKTzGDua5t8pCsO9TFIHGszNYCqkl3JDZQTULaTSyBJOAZwl42boV2bcbyQXysD0vYu
q+8d5iFpPvObEsT3kE+B+UWEhDY89cFwN2FYBuyjUfPlCJRmeC0eZy8yxULtXpg7tst0XA/JKm6X
JjcZ+EDVyi7XYbTGhcYPEcjbsWJ/poqyF+O+Vq+NFiTAIkh3IBSTci+XK5v6bbztqBgTsyFdGwFk
iAOHBKozuVawg1EMFBun49zDh/JuSYJJcSPBtdWr977DWnYUyQq0fVVxe1iF9UYv9kLb5iGrCVOy
L2f1ysKuiZnCyI1tM7GPOO/0ChNb+kCISQKntzF/ka/IIZW7w0aSDrpeuXCTVPtYKxuDSmK/kvMr
6jMlWyVa7+UYHNpomzXPSVYTp0aSXfCs+AQBlezoD1l7yIpNoIEtnbDYXUXBTdhdi35HXNMu5m/o
218yZ6dgWvP9yyzJTnllN4dUXQ2YgjCBNaRycp0qr32OoXSK213KBhxQO7V2lXnSB20RGHdtIqA2
EjKzLON/yjB9fJcSKtJTaC3to4wOQv7qWv5/L7ZGWJR4yNuW9SRYVPI+81k12GuAGwVjs8ipWddQ
fZ3wl6w8+NNJl5+TXiEGg5gkO/QCyfaKKFwqQbvt5bs2ulNai42TO0v81VaQOoPilLbdaW7FEn2/
jsVySoBvdTVleU9Vjlpy41e/OHDRAwnFC9aPhVkdqStM+adKpIZRrqjkK/LWEh8Z2VaBydrWlpy7
6ehIbFj+U9Bcy+rtYDxr6k0rArekupJz8ZMalsnpCvl/367y6DWg9OYTPKV1Dz5Avj56FtUxJmpC
3CUKgTK/hHUr8mNO3U/t3wbza7RP/2xvSA50hD1O7y9DU3bzsl7KxX1QH9Pms3LeWBigh6wUn/Ik
66sdPFA50iYGy1clxnDtHrrzFO+jEV/Ju6Qc4jpas5vFRAK2qcFWT0EI4hxHT5LSlC+OFxBYELH8
iv1Nzx1H0pCx4ZIPXzt6A2F8rfjzyS3bDMZX0flvVUM+GztiMW5lMzwlhb4uxa5XqbCm7B5y0BAF
xRkGcW73MGgKLKq+a5yXcBy5/2QKHUVZtO9mhO7Jq1UnOyhhQGyqCqGVTCrbDaahZM8tDYd7pm1Y
x9aHfbzQSQJoloYzjde9HnA3Stp8InWmf1Uxaa5klFS2MwFUnpbRVM+GVUzvojN2evckNyllFovy
Y4A1K56+1CgdNo0l2STIWFd+699Z8ArJsbFIl6vDYc1JNCTnQLpT1X4vSmfwQNsyplmu1EpV3ISO
FpK2gHoQzpOu3Tt1TDAcdyvjrkFhFibcXSxXzr/A2buZUIl3qQlosLnWs7X5NX3ijqRowtX66kkj
WAsrl/s/senzMFaDy8MAcWYuY2PZ3UzNm0M88SVt+KUe6Vkr1pBCESclek8zjTYaff/Q6ZfZgD6S
W8nPHdlv+uTIqIFIkQKuoaQ9a2ELfGWpM5tIVJBwchCyNlBOtssLCqnvnuj3Yc761+REjPC6GEZq
QqToRGERKNDJ3VYP4wsG8lkTcSZb0oHlqoaBXtfESv6ntECo+RQaDXYceRdtkp3YEMCzwm+8+fnF
faf5+mOc+ZF/0+cClgtlJWNCBI9yyrK68NflqntyHmKSqOA0RF54QUw3/xY/PdnZbxU4UuEIgyeL
xJvuLBUofKq+G3qCDMr3C0/3jRrgj6c7+8Ea3eyMQcxvcT0zyQ+mG3uZS+VyvIbV44qb+uuS8//S
kGdiF7UjJREzHm4Y+zZNf+Ws3//JQ1mqYWoIyZS/Ig4IIHQGljTH09dTsNYfc499Ro8XByxKEeJh
CJWJe2mi/P1YmDM1aHC648h8Y2fzpB/V3E/0yPYyuA9ceTloFpYwVj8/23ejOAi6FEtDAPqXJtAK
dIcIFbL1pcKmE9F3FeFUwlr+PIr6t5wTch/yJjL8IbJgYDyb9KRL2U4yAQGGqrkoS8NYp/ok4fjq
tCOAHzicGWdPuaLGZ6Hao58sq2sudta6nTURed7HnNnJQShLm5yEsqHOVkvthvhPFc+eLLw4UsS2
8OviMGi19Fjpk3LhXc1v/M/vCFQDSeumroD1IOjpz4cwBrNvOUDy5Y7lrp7vPqIovwqhH8nTuWB0
+nt91TGrzMpcWSa/41yrOTZkEuUd3Evdkhea07oVCmB/uITavTTM2efq4+yxpXbyPcm0rqwyu00F
dQcn+beX8flpIGgrDtAP61w/2PltVWUR2chj3VOilYlkNHhnC6N20k0Ra+aFX+obFxcDMuXQEBuw
cM51YgUxqCLpoIQ1S2uhuvIj+hySORpXeTWfnUfKyxA8H3q0GRfWiu/mCJbOWaNkqZqpny9GYcNR
IMSg1o5Wfay10iC0MMmJBItCJ1nRbs68n7+tb9wYPOu/hjTOHHpmFMGwnSV3RLnlSx+bkxsICpvk
8OvIQpJiWAyyo1wpsYz9vrIbbakYFWkiIqQjX8V6d0FJ/e07YK2cJamajab8z+9k8snaKUpAWakV
clSSrF3cVAoVKFDGhXb38+N/O4N/G2xe4H7bTmcGkkmb2KbxIb8oSbRp43FZ4+L7D35YFQAJMowZ
dn8+hZumRVVjFrankNPlmZa0myzN4MiOxUHp038zPh/hHoQOdG7GLFoGHzU/9m+P1caDICQTEwTn
6SCGrxqnLzqEeLdLiZPtAouTOZLVah/Hen0VdjRhfn6vfx8adMBODhBuzSRS5/wPiHwzhI8Harvv
ZeKgRpBgMnBXbouzJVlMkvgymos8i++mjqFalgn+jFSCcz6QkgBuFxaMgqwgK1cW0OAUcZukgeS2
bWdceMbv5g6hQYAf8ATK9jkfbPxf0s5jSXIkSdOvMlJ39IKTlek+uANOg7OMzAskSSQ453j6/RDd
2+WOcAlUz8ycWrIy1c1gpqam9pMmC2URFTMbshOCnX7MMwqWwiNwzM8n81IgtLhVzYTPAMt8VpgH
Oq4sYYS9ROglX5VYfYrpMMtRcv95mEuzdxpmthfKTFU8s0McX0MvNkRUskOdU+UNJ4D99HmoC3UD
RErqEpWSyIBQfb4+Oz1Ji0ZFQC9XEYgLB4StpTxdSm3ipVVomiYfiQJlslI7DxOOCWQzj9pulIX1
yL1VR5u2QJNYc/H4VLlQFXtN734IbEAMxvauO1wFiXk/euMtVN5XqQk2eG0crLrZFClNGyHcaYAV
uuTeM80nU0w3qjseirz5qvWPEqVjEAL81DaVDNlJRfoFtW6Vxy9U02Fb03sGCtnSOvA7XuWHDSt5
1RrldjJKlHA503sYKxZ9r3bXofjZ6dsqewSQQcPosTYM0EBA5eTc0TrQWvrdhBb0hts2fio13eFe
Y6uxci8k14p0lBAME12IqkjJ0fvyrdteQicMH5fBLkOwq+GxKmPQWOAgJnHqr1V8F/jlus9yp6ex
oufNXnGPIY9p7uDbCq9HIt2+TAQcsE/CaBcULbbPUMuCRlgLVbzFsuWotDccqtseiIhMszQoy0es
XZ5LAHWWJjy2SnuVYfH6+WK6IEdCgWuBqROhNksfxPA1v1F8PCctCIXoS+3CVxSAbGWrHQCIHPFC
shdJhdMZdF7L6ZQGJg4hCtqDCMGdLyzXHFJFqnkyVu/zK0BnqwaL1lW0jfbJXfcI7mtpKX9cyecB
Z8WjIbhhUYkEhE++V9f1ozkcBNC3Ux8K7mSxhyOzFbqvWv69+7IU/WNiIDgWQZMlElX43B6uRRGF
e41hosEY6Vu3pzfX1dKPUFS0feC3Pz//nB+z3Xm0WW6QkP3pa9niSPZuBrVCYYbGa239xxXyFAXx
TswTEJIzZ1cKv89KBB0YUxOI1k7ox9GuSwCJMWlk4ey/wOPFFQjFAco6/JAJOFstbdmaQd6Ydpm7
Jk9RISqzeBWAbihRqKxHCQdesacBog3iQ5R63a6t0RHWVDTdUEeINtaAbHJuqNHLfzzVSABAu0DG
B0Lz/ATDWiI1rZ4f1lYIcrVscjT303xL9tcW5vvCAiYUZzKXYKSD5kIpXucLFZ1p9mU8AXH16rHU
XeAkUYLSUj/xTbOvnw/uvYk026SmRpMJpQOZI1idTbsXx1bhRchtFnh2Shtv123BEW4tJ1gPP00M
0hMboGu81ZY268fTTT8LPP35SfWVCpnWWQg1w59p7eYmwl1BXYHnWjW2aGc1z1wOAOP158O9MMGI
kog6jq8SBdc8JSmKmAgRdyGQ+N56QHcqQdTZQuo/6O6qyl3oQ8mXxgjfSJURn4FOMddt1IpBTcSQ
MXZrpLUOJtYyD9YP+t5rtDtrp4LpUKzAxGyyu8yOvyE8uMq+Z7c0T+ul6Z5y3/w7n/yUualP4FdQ
vM1umu7OkezAAf6t2piVOfXWfbCePp9neboQfQiHMyfaxlh+UWWff13ws0OvGzguylsTIOIqtQfO
asfdTyR2oALPucMb2Fp6zr4mtrcZF23/Lk79yQ+Y3boLq+wSDVVszoLB0cES8J65QjnvunQ6myM8
czfIry8srwtZ2TROgs6ycqfoVaYpAfbF4zc3NlYt3PcEq4//1eTCPTqf3LDqYqE1dJ1n+JW0+Vbx
0rAqOOJaHlhXQKE2aMe7q+eDvIu33X0eLsW/sIve/adY0BpUoXkb12sbK4nJl7af5rta9xEjxXeM
K5sYJsex6b9pfbrx3XYd4oQB0m1f5rwXm926AVNY6zx24taloIvJ3XU1hE8lzvFC99SU2bov8TwA
itYXv93si58u0cIu3OTRiDBVrpeqPvFzp3Vzknbc2jSTFtk09kF5NTjVe+9UfbK2mT18WaoJLh1q
Z9GmBXMSrVFS/C+iVCeauB5txa6uBQeKz5O0Bod2zSPv9j9eGwbdLBoCIgQuxjFbgqaXxxZquro9
HMADrrF/totrc0+HCwOClbFVnMhGnQmyy9VEt17aARe6QlMFNNnyUmRCLZ/NL6znSlBCPBrDK+sx
B9hqp5vsOd+BLyt3/drESmIFAP5WXnhaeK+vzjOOQUiD0oGrNO3D2YYP0xjmmJtrbPh4n+95w3Ww
St25+2ALEmpb7GvAipvU6TC12Xw+6Rdq68leiq4FozaQv5plu9CAhDLkWO76e3cb7XgURjB0BVSQ
JFeu3C8CeqYLqeYCBdykBUZLWWQPqggDny+tvi4RwYLDydmCA+UOMc21vO82+kY8LrksX5jb81iz
j+oXsjn2BcRAOTxg5WM9ehtgueitKFfSzk3XKLkF61B+4jBZBxtzaagfc7mpUBhyRcX0FE2UWb5z
E8MV3VGfno3iO2gr1CcY6Gz7Q7FPNuF18Li4b6fJO19MZxHfe+0n+1YVCyWmXEKR67Fx8BPZYWNB
d7ywJzNrtlK4Rlr+80X08f5wFnJe+4li5HoVGBlb9VHmzzlGeBfNJ8mQEpRSoSsLNN+POxUhaZmV
w+sivTbRnCqGkzG2bYEoucJ7byXEHTcIv9Cu5TwU77rBj74qpauaPAXyigaKWvA2qan02K0MgXwI
4qilaSaCCSPZmF/zQERtX9Ligg4BNlILM/Ph889+6Gylu9xA0sbXVcfI+l0Uik4Vff187j8Wau8h
UKKXaQma6odWSzLSoUcYBZoLhkHCfZ18TUDN4iuAy9Kt7gFpr77EE6ci/toBr06T8JgAQMlEZHfR
d1VEoCn0SWpKPFcxnNZMgFhh7RZ9V0DUf/5rP2796dfqcIFxwaCInRdXvZonWdVqqtMkiaOrwsEf
ccoRM3C2oFxz2FpScEROchtbmPEk8cJLw8fn1Vn8War1/LBrtcbC2Ryz6OoGH+ztT+MeR2U7IM/p
S52LqU9wthmncCjBIVGiYuM912CIRrpQeS2rTnfI9+DArr2rbA+phLpx8fiajsdPYhmzVCP2Qlqx
Emjq2/keyofxSp+KujF6c+kRxSvRTjbpm/yjJgv8hdPzQ96ZhkqunYSzMFmdP0lZlheW5jTUdlN8
lx3vgOnE3lwNNpgJe7lF86FenYWbfUi3EWs1Jkc4bptt27rZZr260Ycl//UPqW0WZpr0k0yTiX2T
WyLwK12E9Zkm10LlwnK87tzusLA1LuWK6QURe0n8JaV5FzgMRlUIETB0vJf+VdloV7HtQz5e489x
6x+lN//b0llxaXCnEWdpNMYkN1GoCpwO4keofc+B8EvVdxHHo4WxXVqbp5FmeVBQo8joaL3gZC7B
8HgETAZjalXuYehvyiNeUMhCFXb0JNqwepZLO+3CUHmUFTmB6ePT65qVAaivdBLmGbrTt2UAfkwF
ZVVU5k2uaKljpGG9LkIrgNoYld66i7PomDScL0pFz2jVJyEOZLGkxBXuHDChpMhUIii8jfA85lX+
Muh6/8vVavGqMRRhY/QdGTjn6eSmSArUCpGzgZxhGdisBHF5Ww+GcpTqVgbCG/kwu6fyCxbHJmjg
mvFK2nwFGmnRIM64eXsgBtUolHaFAAoqieToMGhmuDHGGFy6MALkZ3Hm4N3Rm48Gsdx3A51cL6lq
p5BL4ZvHeeDkABSurShD67iBLdaKfbUv+1Z+lYTE3Q9tVD2rvRe9GGkfPVu54W5kI8iRpnLdOLsx
vBYbXZ6a9kYWuwcgKhGFhYWyjGNoZS8CvXVN6NaDa2yGZhju9KKod7zz1d6uVs2y2AQdSukuI/9S
ymN7HfSJnCGpZo5Xdac10EcFE3hvUNc3sThAgQkMUGqS0QntNuoxMhirRlGRxYpEY68Oo3cduz4s
qXIsIwQXQu217H8qvlzuY4TDuNPJJcjW+DiUcgfmKkVYwKzkUubhQ85emsHCgEs05NBJCwkSRyJD
dtCyHhX/vkk0uvjuUEAlzXzxJmstEd5bErNNXBDnXV9iCVKJnGVrT+EpERSzN4YQRIroWIRKAv07
GDY1bjVO4kXdDjn4Zl/IvvlQxjjAZB5ugprZa4fKHHABqK0OpJ43cbIEHYOY0jAdLLySX3ncoKcj
h91tJxhpi6xB2GHx6Wtbo+9xfvMB29kYqwOqzse6uRWqINpCZUY4fUhL+Hktph8rHgT1Fy0r3Gca
ZiJSB8Mg1yD+pKzGuUA1v8iRVxrrcPSlYivwPv0lCQP5MegzY7eQBaacPDuh2IQq4Ah8lQxprnfY
BgFiS6E4bauJ2QBNOOVQnHpKMGjyYR3B6MCd4tA75Sr7Cz2OCxn2LP4sCehV6ZqhS/yuMxzX+N4n
/7HoN1eo0xHOLs1GUXPVaGAclkXY7DrXQ9xiiEEZJEWIFU8sAWyAxF1pwZLTyMfuAKElwCBYkNAe
RDb5/KTCqE/1MtKZ02/qK9UJHMERU3qS4xrd2W2XL5Q2l+byNNyUcE8OxqKtkQB3CYdZ1p2nwxuG
rtQtnRsXioqzQc1up2mfd5UXqHyx9fja25BOdjDPvvbrzg6P2W2ztEKX4s2qigCOMzBSRtWt5UO9
x+MZ8cqpMeXvym16vVSzvd+M5jvidBZn5YUA2qJqpnjqNrmJ9+HTaFsTSUDfQo59GL5Xa89R7WRf
3kCZ2ldXHI8HBBmuwQyvMA5aJ3aGhe5P8bhUGkgXTuzTmZ9Xk6qSiypseq5YDh6CnRP/mn5L763C
W2833GS02UuH50qTDfvm0RuxF5LFwqcwZk9wiarwYP3+KcoVr4pc0/sVDxnrEsvCrbyC/vcX6oSF
VW3MKiK/K/TEjeXpe5iH4cZzhLX1raOEhaphoxyxXLUvDXP685N9lFuea4TKtALuYYzYxX24wQ0T
80WHyvlVxDlmYeNeujyffdlZFmzHoYzkoeM28jsFZL+j37lByZDeXu1Yh/z36BSbv/DCOU3dJ0vd
mOUnITULDay45oz4WPYYjebVzxbvZh+tn0L5EtdIk/rwqn734TcBBZvPl9OHvu95djRm6Yp6e4zj
KbrFa7gL9Dqp7hXpdQgQbV3A0773dD4b6SxpxaUoWUlELBG9oS6XnIaCJoJWkvISh39xHV6rIo+D
rrD0aac5/CzyLH2NyegaRUlk7fE1x2f9mNrZNvtJ77LZxo4WOY/davGtfOnDznKYm9AxKKaDp90o
gOUxGd0MdzRltpMvgubtioU7/MIeNWf33NYsTI+rKGD/5Ln3b0tjCct1MYAKnBcZeUP+YNU5ykjO
aLx9OwP0ehWqMC9dn6/Gj831aTmehJjtwd4Cmzj4Oh+KEkg/NFuoRLa6Kp3grl5DLrIXG5EX88xJ
xNn2ywoxKcWEkzR9hThxSA4ZFuw8Wo5rYVveB4tqfx8by7MhznZca0ZV3rkEbH+Ka3mtv3mOcaOS
Y8jeO47T9XKOuXTJO53V2cazlAyJXJPqyytUu09+44wFU/FBs34tfL6lyZztMy48vVy6muZEL4jN
rJrr4B4j5tX0RlA+tM9LyqyXulbAaniPBFoM8m+eOyWlVoK4qmXKEnGdgc7YuvufOvLKK/wJb5fF
bi/lEV5CkKcH0QguZDa+sC31MWxoWxZecG2gxzSIw6uqakstj0up4zTOLHXUxjAEWIC8twU2zUPg
tDvjGZL+NtkowmrpBf3S8jiJNveqENNcNwVsI5yGB1b6w3Abs+iXkDW3ptps/gdL5DTYrHwp3bg3
GnEa2m9za23GIwZtlGxQONcIFziL7xwLU6lOf35SRxhNbJYVVAC6R9z/voNAcAx0ux1xI9sDugRL
GWzKsvOj5nR8s7pFrEwB9UMmU4nMbTCYx0KKfnVjvUW4EikEXbqWavdVLYbHQjWf/ieTqyN/PHVW
SfWz9Sl2WPCBLlUcWOPdGiDcNf6ra0/AlMfamlhTLVWj6vQvfhjuScTZSk3bDDfFLlAcjZbGvRjj
0OYFWbUPej28DZq0s9swy+kNoKLlWnDkFbVMsUGPG3nbpA2ihIMvtLjx5njYRIq6s3ozex2DRjtm
ch2+GHieftGCWH9LsywWN54qYuQ4dFlPOwHI1kNuQj6jydwfe6WrH4QE4ZCsSbV8nTU1ilhCgzJK
bETxqonU9pjnzXg0syJ/9v2suY6bGlRkrpV3tVR4b4GfA+qX0dfmpEkLjjglEXemUAfRCq/R/L6i
64mOUZz+cocyWSiQLs+lOcl0qrquK7MD3FBTtckyVYatZ62C+BfdEljzIB/bp1z/qljB9vPlcjGb
6X/Gm23FLNfdcvAn/Y3eALIIWjQ+1sbL50EuHukosdPW0EELi/PX6wGebqdnFebnvCwUgy0flCvv
EH8x0HJ5QHxxn9wucYAunwv/jinN0RRKGrmR6RKT6/FmtP210G5cG5VOMBTWS9nYi2nmUm305ygB
ZJ6nGTChlTsoNf2Fl2x1DSwA6QfQMfvpUEfMcCnLfFwq0IEQ8+XjAUPCKuU8nJgkdUinUsH7cdK+
Cm4Cb4MmqDMVS9Lg9DwZrScgUPvAjXCDTMnnH/X90eJ820/UJ3y7p6UKFHy27WMjiRo9RAPG6vr2
W1GXULoqyShfNTPLjm1XIV+YZD0Y50AWIMwbfd2hYjeMbUNLNJX3aWiVPzUrJWdYQ1Ot6PCh1ZcW
eUC6Eo2Ngin3Q6kjno0apF/fDgqWmWWZ0ORs0YfR8QBELtIVN5GUYF9YGow/7OKbQkAkFmvg1Km0
ZnRkD2V68Alhk678LFHwJR1h43a19YL6XR2tP5+XC82ms3mZP2tT3KGF0NVTn0TaqPoq3bS7cTvB
ony8CZaLyen0+vAdeN8EHK+DUnovNk9Ot8yP+X89ZHPdlvvmm78R3jtbxV3Pa8Hiqvt4tjG6KTWx
lVl+c5BQg+puVmZI6Ak7czvtYpNXO/f4F27/l8f1Z6SpZDkZl9kreA43zfRm1zlYjNhcNRKGZoDp
0X/oDwuf7WMmZGC8EU+UDRBE88zbxIJWDqiZOOKWcPoqb1bhpj6O9/16fCnu3C+T44z09fOoH8uu
86CzPcw7fQOtifuaYvwaa+QFNpX0VuJp8XmYpbFNU30ylUooVZXcM7aghGxQIlz6XIULQ/mY/aah
4OI8sXygL83SQS5lsAozxAINvHphU6PAMyAz9vlAPg8CJOp8IGmdVp00GZ2MobEJZPxvacgvEdEu
7+B/D8WYJ/KxGHQh8lLZSX9OFZSx8xwUn7C9f8fBLNVPFz8OkB7AyIh0m+I05tOP4yPb38soyxf+
cNvL6KgkUrrNlHHhRjF9gA954iTO9DtO4iRRUUuqJChOuC9ulGO9Q5Vl+xf6xB/bSSyEkzizfVt0
blAPrGH6hOEdIMJj/xQ5/THYTlfAPliLEMNjh7Np9/naWBrf7IZrSHIBqpp5DPdYZ2zbXengt7tZ
vHBezEsn45vO5ZN5lLIh5WmY8U0XTnmN9+JjCygM8qfj3y91JC8tDkADYHkmRivQpPNgXZ7HbQ9S
zDEQsBlQWYq0t6779fnMLQT50M8Wg0qhNSA7OR1zJUBAG+RXn4v252EuAFw06WQw87Z1VjS8GerZ
P6+06hu05KO7y/bFJsS8Z/+/DDbLeZKWgPXqGFR6Fexie8K+Y8K4QvJsVyysvPcjdr618OOE4gDJ
mVJzlpaa1G2CBsfg91ozvKsRaz8m23qlr+KAK61wMDkgl5bGpfrvNOjs7LBCXW08zEXoXWJmnr6M
2q6vfwsV0nEohoZPC/P5sa/D4/rJGGfz2VfIztQQPRw8zm+QOwKrh7zkZqprynVgL2XFj7z3ifJ8
Em92ia503Y/i0NNRMElwV6qL0QR1rQzKr870qnups3gjLQZ098tEQwsPeWBexStkwK1qoLkFD8G1
B8vr13or5wlaynHxQ20npa4szCbNIUgZ2Qr3xPjgZVJyL+VKjhZB7avy3iSzJgu92Ut58XRAszyv
+12jy9MEGupv1X8LuttYQARzqHBdDxbOyXc/6A8rUuP+b4rTY/KccD+4IxW1iutZaesO+m+POaor
v6lH19kBtMIzr+xsB3clXZc0Bgw6IigKrFoHww7Zzm6H3VKTVbmUNq2TXzT7nspoqL3fSzJvsN0L
SXOTOFF0p5tO8owIvcQZm/5Avn9tXU+doMwGQLApvzVf+mucv8oDHMJr09xkiBj/Ehb4ORfup6y1
k982+zRuio5zW/HbzGvvITimm4lEJ31T74zryTRL3uEOsLCdLtXRpyFnpzHCEkVQw92kU++7N0oZ
CT+zNKmARZBjEBr3S6TxBDS8AT5AoZTdnwquxwvo6guJn+u4qkBsM7hImrOjbAS1E/SKKznpUH0f
DeGh6MRno0h/fT7YC1XuWZjZIda2nutlDalYzsd1HH83G8SbhZtR9haW/YVLv3YaaU6HYYf0ZpxX
rO3DdGcwvdt4E20Rc+KZcjRuEEdb6J9cqhXPIs6ycEVHKRent+BwuJkQG+mtbzdfo3Kf7ftttJj0
LySRs3CzLKykltIi2qQ4lesmD5ogyQ+uNwwPmp6rd1ZpRtdCLwgL3+9CZXUWdLZ1k8go86js4Bh4
cobFU9LmK61vPXUdj8N46LXau8VCMr2RzJyrdhW7qCF/voQuHHb8BMPE7VpTFHmu1BAOpqCP2kDh
X+6FAI39FLVq5C0jZG2tonAEdD8/j3h5pv+MOPuw5kTZ96CUIIhXXZflV7EIHdFM0a/yN0GcLoxv
Kdrsu+YiWyTvuD1pK8uo8fYAqBqucRhfIzprfz6yy9vxz5HNPmeeFwZKbaPkqHW2Ldw4OHR60IPi
FHO7lZYeXuWLn+6dN0KjyFT0WXHElVNsNWCxjnsN/byqNn22al5oCI124hRwOfR9CaECAb7aMR6m
Z75qH712zRq8U/t7qi6gtSxdFi7OwcmPmn3dDrWVJmpbGT1F85pFvO2H7EeUhICTLOfz6b7w5k1S
Ook1+7aS0bQeKHzFMZufXqsgEI7JSx+uy9BcJ12y0YbrEfMETY8XauDp2JoVAWeBZx+6rcRwyGKP
ChEjFdU6qN4C2eDiLMoSciUAc/GanM2iOeqF3o9YSY1KuMtKaz243a1s9Nemkf9PxnISajaJYRNG
fS01bEf/vhSfRQTvP/9MF3fgSYDZZKHEHVmlUnMNRxkd/fC+fQnrL6HEs0lcLVzFL36Yk1jTn59c
IUsl7CpWn+I0fu/0lQnortp8PpylTzOrL9xK73vdov0dYuHU0Mxq9T0CGGt6CwuRPtKIIKSJJ6OZ
fsrJaFRf8wNuqYzmENwg2iw6LOhj8a3dYXgvr2QuxuoXbe29Qq5eSJsXD3wUT3hSwF7R+CAahMaG
WNVdTIStgq7sajruQ2PVbZCD3KFyDpZxIeSldXIScX4SUVPLwmjmCG1WGCS7Jo5I6O7Koh3rjy3a
6p9/xksV2mm02Q7Lcd/N1YLPKGHKVGWZA057ZbnDwpFwsYzR0Zma2NMmkOhp1CffMDKz1A+UUKGt
m++Vq0l5Lj1OTyV/pbV7cVAQv1QIxCI+e7O9PNQ1MNsKK+W2S3Z5isItj75ivvChLm0yRAn/HWW2
oVPDF7ICSLgT0fbCzgIt33Csx4XVvzSW2VbOc7euyrKQnbhAJrdz8bEDWMF99PN18JF5zSajv4+e
ESx3VvtskxmCEpcAnWkxHLQn/Gw2kl3CiJzO0PBRD1fGs8UFTtyER5iY5Xaxzr10ikM7BPUA9AEm
y2whVh76LJrYT09446a68ZEct2H24zOxwiGM+hpZaTRi6APUr8HtUjfg0qY7jT5bMUZkDaM6ytwg
ag+ouXToRnxOhtBOjRzKsbew66bJnB+cp+FmS0dItLrKcl60Zd0VrktQ4ejnCg9trfq3Q5FJS/fP
6ef/GY9HB1SUVNQzJzEj5CHm4G+tK4XBFZA+q+1xU++rbXvEX2jLvex+mR00a8N9jDZbsoaZh7I1
IKmkm4l2O5FRn3vaIjsryKxVQWvzWTHq2ClqFeUCK+dPw7K5K5RSu/98UZ+vqX/+EA0mgYg9tMTL
1Wya+65MMkgKpt15164YbNQkR6JnVWEJFMawBEp3YRedb9Z/BWT3GDrvpSpyiudZzi9zHdIh0kuN
b5hItA/Fla7kX9V0UUXvPPn8MxIHEkJ2PHirH9yTU3EwklZFtq8MGiQZqiDtN9mIc1IaaHhP+OiI
t2oWYYSVN+sqbb19qQnWsfYDhMuxp1tJyAuuddwmdp/P+aUpABMx/SRJg2g4yyMhMleF6kWA7WUv
ROG/0lEnr1FAbtBj+jzU+S761xxwJJMuTGtSfzufbcmTxKwoWqjibtA863EUokSc8TAUGxn2XLVg
GQvoiQsRNZVCANUTOBS8TZ9HxNcthJGGiheWzlpTrgDzwtv8YQULrbwLXxcbcBOdPqhoqKvM1pGm
VFaAIqhr08m4E1XA7/mS8uzsRH6fPRYpOB7IkaJJWXE+ltCUc+wLTQkiuLQRr/G8bOnUZXtpPb6l
2/Hu82+lnN/x/xVu0hnVDAlRtzn5NBYCCffe1MIRATVT2eeO3bq9cJXpHo6WrmbduoUF197N8s4J
IDasRzrQV23hyvdRkYLVhCG8heRh7P00NMAC9cNGCNvJ98jEhKQqh22rKsVe9Ppm40eIOeuC2d2m
vuxdCaZaHauu7aBFRdkmqQ0BXQ9M+4AA4OxptNh8dqPw1KVq8S0PDOMqq4q3ivcefDSmvTMMA82l
JF5IzPMENV1sJo4qohI0yajDzr9B29BlzrsSRiyeRkH02BUI4g+PDT4gCiIM2J98/hU+pGYC6qgl
YQhsoXdAT+48YNAMbap1uC+ION0htNEZAxgnIdTyw4QpeFVjV8dAkLea353qqi+5rhrpyuvjapcZ
bvf4+c+Z9WxNcuT5z5mSyUlV2IWCFniFYDmpazojN0ghYOMKQom1UvKgpuL9GNHlGhq803iWt9Bk
K6rjZKaO4Ou2lTLHCnDjoVtiYtGTh6mtWtFPs48w4QkOrq4fc6x1YT3D8ytWFszHNrvRtWTVZOPa
KAscfrKFe+SFT6qb+kREYp3L0nuddTIkEz9hQ/FFFY1+Ew0q39ZChHLrdtVoWGN+URfvlR82MgeN
CLiYIw4RPgSZZhlXK3xUgdNBoHKTD9pmuqEMv1Djd+SdeSNsPv9k8ww4Dzar431vHNnkPsaOZbQu
SzqfUmHXtW9X0Ak+DzU/Sf4ZykIHCNAtpeksvftqKVqNzOLoo6uqTXC4eKwVbeEMmV3wpiUIogDT
ch7W4P9+uCv0huuVgSUye+vO8Xb4ZIHvxXptLa3Vq+BWWVgei/FmO1CCa5jV8fS1iIfb7PX0MoK2
0TrcGW++s/QsMk+78+HNdhhgWylCHFHg/urtqutgq21lG4+5pcTycV2cT+NsETaVPBiQS2GykF/V
QseRA4YU3gru0K8yOd9VRXEdlyTqPl2nNLDH9DBK4ZZCZVuOyCIubsRZW+zjl50tVQ4TN++L96EH
u+Tg2+0q2qubZSjgO3TntLyeT/KUE072fONaSe5VfFNYGMpa25d2jyS+k29KvMiv8Tyb2OTdHRZ0
a3Nj/shvRFRtjhVwZNGeNH26PZajmyVpmxnB7eMEzE4XUfWzQJ0Sg3jo7ypn3JAcbKwU35B/skmJ
4eqpvcL12gmg2eE85miH7umf+gRoLq1ogN/023/jef/Pz/7/em8ojsWDl6XVP/6b//0zywf0J/16
9j//cR38LLMq+13/9/TX/v2fnf+lf9zmb+ljXb691dff8/l/efYX+ff/Fd/+Xn8/+x9OWoMHuW/e
yuHhrWri+j0Iv3T6L//qH/7X2/u/8jTkb3//4/uvJEjtoKrL4Gf9x7/+aP/r738AyRQNZAhP8twU
5F//xc33hL+8T358/9GU3y//vbfvVf33PwTD+BvP/AjLUy0ZqNqrZInu7Z9/ZP0NRUESItUhOlTs
5zQra//vf4h/M9Hu4lznb9JK52GWZVgBQH7/MxIbxDP+j6oSQRxL+uP/T8PZB/vzA/5X2iR3WZDW
1d//QPSKFf3nikf4j8Ke+xQ/kKaOgZj2+YrvRmoaz5RbDKsrHJnMqnHGRkbNe+LBC4L/vZfEYd14
Sr4qq/Em1A1QR7XbY7Im96vCxewuMoBn87YFrX60tJugCxOnHodvqlvBUA5dZV9OaHYthRyPWGur
BPs0C7GFwZ5QDyTPLov6m5grMWc7YK0iFG8EHArX8LMflYH/YKW6ucwWxJ3QEzocXq0G1+VSx19P
DG7EPsd9zvcMuwnzxgFxmMATz7EWHwF/JxFXJKMWf0cZTJ3E8HCg87MbGBvlVWSJ2QrtVv9ojS6d
SDRm9npnareKWRwLTwj3WjPBMjQ8Kd1GtVYj/leRHPD6oPTCJsiTZD0q8mOYBPfc1q4Sqz0OFL8r
PRieqF/QwKrMPRAoFZOl9gopHmkltnq0qfVYWWkJToVyg7GdnxnfQle+VksD/wixKnetqI9oF/dP
qar9GIbka1fGr4on/PRzAId1II9g13UMNqNCXJuudxPUo45xu/6rj7CZq1R8kgNDfgk8jBgrJQek
SF632yZLtkqiTShxpP+tOnnIUQJoVdyhsboZVpjk/Co8cDACDs5idafk0i6ry31gwlDVBQlPzADp
tsaH0GWW4NpV96UTrIeoR7tWDd0bU8fwPAL2Z4PpxzRAMBVM4fsY11ALNLc80DcoxW/1ON7rQmJg
YGPeSwDuj9HYAArWhF2XG9mqywJtXUuwPsx+F8thvM0jnDQtPaRR3BoFjutetnEDAdJ7Wm6VTv0q
gyVeR56wreKgxcfMeC6MYM+m+jWEypcxkBwk895MqbeHpqMSpYORqZK80VoAz2UrfzP7Iccmju9R
tsOxGL1g7cq9XeJONYzR89j3kKYD+Skc452f809wLUbjJ96OYrTJc8FbmUWwBdqN626RF7hHYy06
CSik/vC76NN9Pdm36F1gi339Nuh4M4r+FytNv0WJuafYPLihxBkj38VRflcXLU0ywb0u20lbelAe
JRNDPrmrjrKabiWDq16b4KVnjLeFJCOnp1aQJrLuLlD9DYLplZOUQYvFuXwUOlyavDbZCWp9KHrz
YHT5r0YYjph9S6si7q6SILvLZXPXBfpLa/lXbVhBoDbvRCw3UxOH2dBQ4KRIB2nAUhZNb88ZBfT7
oiTDQ8/H4VsybQ2LtNoaMgehZpwR4yPSl82q97pXo2WnBGL/auoy8iDVoOMaHb2g238jhIG1GirL
X3luVDkVMKUrLRPwnlZxtHaTxkQkwqodjUYMUoP8Y6S0l3TI0T6pkSIzfe8oTw6Sot7+SiOxvGXu
0ydKTkRUdYY3Nm7OrEcSxuxDpq/Vvmm2gqnFNMml2umzDBcwglVrPAVx2hPH6pnL3KNIt2uiS4Ox
kCdpw7hJMD53/QBAQmK8jGYS2HkW/miTtHFq31cxBKosrKUiYCsxVzJvTGOnrVAgSevuNR26+Gnw
Q3XNQtUOg1m667AYntpYvColv6RHWVlOmFXVPkbryzbzxrpSM/ONbcS/pah4WPoda9bVxuf/x955
LFmOJFn2V0ZmjxpwsgXwqHNONhAnEeDUYAAMXz8HWSwzqqZTunuWLZILl8yM8OfP8cxUr169p3IH
66BqrzxYOQmL0FjK0JK2EcplSWErthjmzD69X8eSXBMD6GutpHU9VtIFNUmuooH0EZLt6FyLQHrX
VrBU2B56oH/KxBNRDXTZXtLKR9HDd8v19OBPHOjk00Z2rXZWXT3P8BtHzb9LNRH72vDVcThk3ni0
QD73QnzRx5dhU2TPTtpdeGq8Doz8YSgAzDbOJfTv9NLX2Oow1UKKNirAqL3P+KnqQpCjEmAwlC9j
GZxb5V8aqt4HIjs3lrVvUgQp17rWa/E9ud1VoqVH1Ae0QBRnerbj2BsEhpD4YpJRJquZM2w2WPKz
7/VJpbFloo84sDEIMrkspX2/JuaZYBvo2y5RKY6is6w9MtAbElE6RO6obg0r7IhJ3mn5Ckko5VV3
Ti3JJtF+Gjncdxm0J08On70/kpgW+EXcGb3+hgW5BBA862Gjy8OsmGY7dt/GdepM0L38DKLrRJVZ
tbeokN/CFBsm79zm+Cot6d9rjsmAwOcQ88spmgaVHzACMep22Xse8+baa/Jhb2frlTuomkxNIPFz
B+Q5WPNLoYh7sfEKaQkM0iIdHgCegsS2ngNFp82WElm0Q/qZNySYaIUNxczOMUywVyFng4bXq98S
u3nVUx6yHrRGUvkaMexTc9SV/GhXWJsciS+j6z5Kd95lXXvlrMNRywdCLKrBh8g3t6Qe5OAFlgxg
Lmj1WDlWQUjP9DZ2ix3n6Uwb0eZlbKf1T9skQb1JdSCXFqk3M4C5xirvOyt5Xhv17VowBMbO5b3J
guksAvdn2pugpkvjoV3bZ7Mg6Luy5pIHjHO2qPU3bdT93UQG72WfFN9y1l9cImtgvrFjBwFtWQ1g
mqDpHDk/qsLdIMZ+FaeWHC7sPL0hLf2W73z2GzpXfx1if+ZYbwe59y3jSFBIEXajrYe25InPmh1I
gngSGpRrAZa0Fbd5kxP3MHCvphhVQnRIb5+05bM/QumEYTcAsuVQsdPqY7Xb7RrAvrD0j0VesmE+
Od2Ju0kcAmHkcVVqb3Y/Q4vObBLBprE6tNAOQ9fKKfANvvK7gWDVrmJh3Eiao5PxySDzx2aTrgRr
XX5WTuNGi0/rpvrkqlXG3sxcj1Rv8moFn9BzkyQNxv8RQ77VURA6DSE8fQqxWr6nRu9dCEsT0WL6
kAnt1M7CIJ/fVK1/5i623EU6ZLvOLO6U7pOVNkFkduzWzu7KSsYoP0l/utCD6gWtYc9VCMVuUSEi
M06KcTkl6wzMOx1BmRb6dOX1NhQMq4TyvqT71rX+qv/+T+vyvxn4AYxDYvk/f+8L/qVzuc2/srz5
yv7Quvzjz/2uc9moE4HF0BxVxUJW/mfnYm1h1hAjMOqQeUp/8o/ehZ0OEtyZOzLQ+K2r+Vvnoul/
wfZBiDy5RVvYpKeb7n+mdSHb9Q+ti7uhKjalx9nQGKwz/RphMBZ5zyKyv/Dwlh5ZTM5XkEOvmBxY
3i0gTXAVAk+v3XAUNbf2tJYcKKN9oYTA7bf9Zwel8q0WVh0S+gDY2m1sWqA6O6Td+Ehl0gPvzQka
KssBOJhJ/73o3rteG7cc+3XoFj2JKmuzLgejG+Vuaj1AjPZgfM5JVd7Oi5kejbqXO2vLMQbYCUa3
8cfQ0akMZtOYIgyI6EVtUu2yxksPyqlhZJsnb/GwJY+9tcuFlFCOV6BKDBJiGUzejiWdx0LOFEYm
cvccSOPA+GfYpQU7E/Na9KBSMTOrbKbe0oZD7+f8+4b/LWmDg5kJ65CU2gSplvOobazHyTCyHbOL
u46FvKPeePcrIM2QOF0bsHjAUt1iILm0EqjsSOKrSzI/MfXLHQnb9X6t3WEndBpEVZhnLQBDbMl+
r4PO5aWWQ+TMWIqnTt05VnZXE451ErA1IlIO59BleT3UMpLjyPH/yNWqOMOtLG4TlYer1QCWWiBn
VH3L+BH50Fc+MYzjxHyjlje2KG4a4EsQfCsoS+Zg7ThQXrOkeHUFPU1JpR3Oi3G/tIbcuyViDulZ
BbL4+Kb58tw62rlvvJ02sBZZ6Ytx7SqNYZry53dizZa4n8BZJRQQB0ubX1rfXEOHNdgo79q3vmVN
WM96LYQa8GGSbUb+tn4ZtHCTB6MZHjW7uBx7Qavstj/X0Xmx3PLHIpcuxonQxovuX5SO+Flo7bXj
dc9tKmAST91TvrBy2pABmyR0V67SISdzrbkdedgl8AWZqoOWrEUssvJJqR4j8ED6S+I1MVC4y6TW
x9AyJxEFJk9mtnXMYuudbQL4AFZ1HcXiVJxlIgCY1NnAw0vvbTn9u6rmlBkcfXlRZ/czjXraOAeX
xl1sHTzgTes0d6U4L/n8jvug2jVbx29tvb8/N+aBOAc79Kt1IYLMWeJyUwsEssG06QdVOatokNq7
6IHN6JvK4AU1nw6zAebOEd8Z2b7cznwGjxjftnvAcqrpwE7rcBJcEvZ2W7CfpsKsC2KCyPYGF0rT
1h96Edwu203jpHQjYEAwzHENUZmAYV3IAqq88bRyVUl7uVoHXmUymd2LscwSLZpbrdVW78J153cj
6ZgtG9UDKes3xXYZQpRod6QsjGfCb73Y2i7NjtszX/yroINXU28Xq9SzTzPI76i77NDdLl8jsxrS
yzzvItiu5ma7pL3tuu62i7uc6uowbJe5vZAc1+n+WyZpDinDmOpvl3+5lQFQHx6rrTDgp3xPp/xD
rkUaIhJtMIi5C6WWPcNf8fZzoJywcunVCDeThDIIRCHnEGi2Fev89kmL3s1NemBYTzK1Qx2kD/qx
o5oR8AJBGgfm9o4Sd6bO42rfMs+5sddquCi3ooiFb36BNASQam8D+JqRXcp3jUqq19nenaitBmqs
eSu2UknZZZnLm24oD54eie4cWSVI5/p53Kq1iiT+srB/er0+nZ1pK4224o7v/N1T7bVUfdoE6SOg
DqQiRl23mUs4W43YBoQw4wgieGKw46Af31yHunLtRiJatzKT8YO+z3ToUm3X+CFxqikEwf7IJ/ZK
2myQU6/q1K3dVsCKVHwUbdscta241a2+jgqF1JtT/JbkC4SDLsT262rP6+wchUk6o6pJp+d0KkIz
nR+EJT5J/qNb9IN9UXBMqro7L1sVnupoM95vlXm3XNEBF3vTNK4TywK4g0p1Ra3Nbgn1PcFvRMwO
7n23lf4uPcBAL0BvkJE6PH02I3HTo9r+StN+XXv4xtownZROL9oOlgjXYTzgQ+HKawrCE7feg5lz
EQ9bP9J47aecmpOP+TnW+mU+aFsHs3bcHbj+/F2z9TeNnbkP5YDCveTyrV/sc5u5Tdi344m8x9jl
waaQ3huuuPVE8MC1eDT75dut2n2q+XvFF6FbjmTGZB9BtmKFTNrrwjH2uPlPZpo+Sse3Q13ogCjT
K7NeLoxG/gj87Lrqhptgdt/rTHQIZ9apnIlfzhDr8m5ZY7c03gK29eKlHIqj1hT6YejdZ8NJpl3i
dl+pLNawZAwcBhmttifBhihNUI8KvaV75OFLtHm5aHXeWngQ5kkshXmvEIUeKWDWUN+436m9nqy2
F1EuAi1aKm0r4Is0Msb5lPf6VTcV+zXbOtH2JqvzHf75U1UbF+PSXHhIOqHC7x767XjFQffBVtHZ
ljwUyru3hHcMiu0ML4K96HJcbMOh1az9OAG+N/SxP9aK/ce2O7oyOFWV+3N2gvoqKeeP1oUE3rgT
uoOxoju1N74CBDMXV6zM7/zB53hIyhulaxflLCFs06p3rUmGJhGqg/ce9MHRTd/q9SbQ46kfnbAz
y1Ou5E7XrChdhlt3cW9qt9lpmUGx1Ldf5dR/CitYQ6E5t5D+UGo5bYOVTFQzOzRJ+gkuejcTe7r4
etzoM8pC9jphx8mK6mFs8x++PV3pQ3CxTnkc6PPzZHeUAdXr3GX3sIu/sWTESEzejkkTBPMiEBfj
3DYRu1pVJG2IryRfXmZJ/zq37ps2UXrZuvjRSBTdUXK8Jal7B+35u/W6rxldNWwLtrPaAPNM0TRZ
uBrpU41FKizm1Qx9d/2uCTfWen+D6xVvk024SKUVr1lj6lGggfyrxRobVsByVzLv2At7nNL+gdP7
ZTGyD4bMz8la3umDezcb4mzV86W5PeFLi9t8rceXvMP+Ndo50adZF6EyPJduWVCHpoINh+Bl7Zs3
QKPPg0fH5wlWqOb+SI+36yp1OVU1DVbunBPPeVgmGxLNJFEocvCZ/JQXa9des+0DEAypMx/quNB1
kmO9W8NXsH8d75b/IkLbqm5rYMMctlq8pNOt5tLPNqJ95FBDtPBaBkGNtcROshAzGAx3oz5dOp2t
9qmrn6kVf9AHHtktvVZkQkdFhiC25demnfEM8pqk83k4JEZyxy+s27O82UX5YnyM1mDfOA4ve2Wo
TQlmu0ePgjisBCGsHkprbTbze2/MZtgHGdENuSEPjs9eSp22t75Mr5O1NqLc6Iv9NPvjoZPao5Mt
w9Fq+aIwXnNXF9hnBap+5UF/a9lb9NryrrOkGXp1duso72ouJhWW+nTNysut7wM3xF8C/s2zv10/
gePOOS709BabJ3dPtbwFBSIMCrva2fXy2NPCNyK/D9wsizxvzY9gy/Zy6qNqqIrIJIj/MI5Wugft
qUVZaiz7hvT8o0E5TgzpQkVpv3lBfrvdtA6w5FBa+r2v5nWvzbLYIyRfs1Sth17ry51t6Nd2XaG0
pwVrBU0Su6N9xakDFz2/qovk27Xz1yD1bsc8+IadcmW4yRNpF0TZDGRVOXzOg/UCkNFtMwT8GHZh
ElPvnfpGPriTMYYwjRc4iEZxKTSdcKbVPpJ3kYbsZVaIFuu0x37x5gnp7UyVQoEckvuRju6QGlZ/
7jtRM6hQh4xFAxno78W4UkSMnDcchD+dUZ7GBjKB2aif1lw8lauBrjgS/t9nPmD3dP3K3Sm4ThzT
YKdSe6ia1tyXvbSioiwdlHNnOc+6TjWP3Xyw9ZSWyKui1clqJHz70chFdnICfipMPtzpDZ9y5Y4q
Kka1g6x2vygTodrwX2fag2gJ8tM09/6h99YXTYonTfRXi9CHmGzpmQWRVOw1q2nOuXCr4yCsah80
cx3PtbRCDZL2QZ9dNnFLLwn7PEX963VV7TtHKkKA2/w0GO18U/KMPv3Wdv+PCoEKgWtwI0r8v1WI
XfW/bob299PTf/yhv0sQwV9Y4rIxdGBm3oQG5t5/kyB8/S/Y6kghZ2yJOQeTzj8kCM36i84kDfad
ixtrUxywMPxdhLD+Ap0JCDczdYunD3njP6NB/GZ2/+f0FAmC51J3Abbx1ea4/sWUYco8wIaFjVDs
/HNZY7Zm0y0m/ym49iLvwJ2gs/EfdaSs/tl2wS9ehX/93r8YNf6JJB4TeGHl8ObnGj44y6Lg8X6P
Jyacrr9fHOg7S2/stUF/EU3ytugDtsfEKFkYqK3wN3CxTJ05Hla/PEovGxtalrGKsqSGF24kQzww
xzkUqoGcFsw0/67a9dL+HGxO2z8nHG/v3a/vLRkAtkXSPHibX63OSdVxX+YqiWe8mU5WAePYrkzv
T8xJfxyA//Vt/P23+WUA/l9xaP7bn4TIfINnZAuM2YSs37lK/j8BwH97GH0cZK7FNjeuwF9sMv9l
T+uvIQb/8o1+ccn83oTuhfv46u8+9HGXHZu7Pw9S/KMlafsVGZvWRxvr8IE1nF8+Zf8d5C6hVP/y
2OFjZ4XCIxEP1fNX8k8rNKAvUk9iqREVR8C63gWRBG9jQ/zhMjg2W7ZGc7cYN0CqD2p8SOcitD0R
aX4fyf6ryKpDEpAF3PDRH6/KmiGOykJD+1RBEa0t8XU3Okpd6UD5yciawMHYTUY0uN9zdbab64Jg
Xd+GcuADecAoENR1mJnmBz7lZ0tx7892ZE9GqDk/He/JUJeDTf3zQ0sxnYmEz+scDksZZSxpY4xw
FvyU8xjVDOHBMNN4i4gl7l3TXPSmG2XZ3lcfwfRiJS1XscZ9mES5dYvEC8j04AmIhIEeDdOya8r7
hFmkI2TMQx62pVdGxPP/NCszEgWv0813DIuZbOz84ODg2HDJQWprZJNLRuRjctlp2oWHYFaL8tJe
p7hd18iZCIjIf5Tjo+1DsdO+ERFLf59uc4Q7XbtashfmD5erQ6qOH4QgfMIqMULV3VTZaWRUM2AH
yHSUSis4eAF5AcbXor02DmGGGWdho9E5ObE9fnlFsyuGaUc1EkuDEePQEjhGmVp1R6dCVqTD6Cvq
7+F7FeZ9W+e3Knjz/QFcxXxMpBtRAUZDkF3USr8SPXaZqYn5LEYIZJ5BsNl3N7n7yeV5MR+2VqQt
9WPtPgk65BUORt+8Wjw8xjLuVdNHTmPGvnnn+jkRkw+0dVEmrtvgCSWh6m8L4zujD/PUla9fudlZ
oviM+GlNLdvDbboS6lp4PzXaTks/tdDD9Vep9zsveFfNz9pUu8xnEuWjrhIdEAxubG2RAaoIk5p3
sX0Oeie2Ghgs64dl2YcJIGUzLvHkjLxXa+SWCfuN1y6z40CqE8GK1y7zdEaKd0p4oVMcWnE1FYcp
iLP2Ti09ot27I9OdoAJWM0aG6cEa3gdg5oN/AI2tuXtnftD7cz6FOZZeeqL5WnlfQotnJtfmepto
R9023gMruzKGbg/gPpywUTNvCFk/iUx5GKonj56unsbQy/sTA3wRBql1VfjpWa7Bta1+Ngsjp665
kfarGh601SJN0tkZenHl2kwNvTeHNrNsjlOaxyV32qo1kRJx273IEdsSN6jbkQlP+SdgQ6MgTevR
trKz2ZEd71VXMjcPJMYBiR4jnxv0dxXQ3/xZv/dj/TrTAEmPh5V/MPTjP+Pc++NVoQbNHmRvcul1
+RKVnnutzxVtftrLcE2ZqrKBURO/PV8a6fLk1aRfivbpP34Rv1xX22vg0nVY1PR1xjS/Hf+/u67y
0qwWq/E5ARn7Ntjtnedeff/3vscvxYthsI5l67kW08V1z4x5tChHmDwRM/n5H3+nX+ukv/44LltD
TKMwbdi/3B55Ok2eyAURL4a6kOPWyq4Nc5mJTqWmy9bL9NFu1ic7N95TMy2J8EDd6vsy280DgJam
b/cosGlUIbQwF29OUzde+Wi2bARcjHr2w7eyG2l2+DnKd1fknzZ5O7tU1Gs09fMM+FUr/NOo64f/
+CcjRe+Pd9VffzTuqW0IxjKY84uxuljMzLZrJ4knrWVK2zJ3CLP+rldoe0YbWY2IvZmbYHmtJApO
cGuSI7PYTpg3ZeQO2r6wb3WW8ups5AyDkj2WxZ3eGnd2Z4mdpfoLH7NcJH2tR1BmxwtDXW5+S4Mx
MfYCaV+7JgtIxaOZfxYE5SSbfuid12qO5+XOkaiaArHSeXB9JkAlj1FzzOCsFwRR1tiH8ByEdl+i
wY2R5Dgd+fM5J3s66HemLY6F4n9mYHEYu+nTycCWMxryrSfe1n2ZrBEL626AeIV8ndOxDhTcn3P2
Qxj2rrRe7OV2Hh5T7S3FHlJxpfkHmT60c4UmehOIt9K6yusybmmJGytK0CebcYq9NYiMRJ207Zhs
mL4Hy2kRP7XaPIrMC/t+vfSc/rH2edlq+Brq4qpuxn2Ni8Oeh2OVTSqyPPGWl+1Jaz5spz7prXOx
iOyypFkGT6NftBlHjfdQdtm+UtW9XtaYToxos7CQybsj5O0hW+WuGwEmlO1bCVDHC+Q5acFIYo0y
1gUbUxCbrX9YBXCDwDmbo/80SOOtmarTmKsLzxLRROWipttkQVkmaq/KitisXzyW5vISBbh9V0oL
Tf/FNb8TH1xGdwqkExWNsWtRidsPRzwT/n0hETkrdtHcYD6oIeNqCCLeYlxbOZRLK16RSbLNDJqb
+GzuawY1s93FYtxPBkaV9Tw4+8k6aiVp/Q3FSKsukiyJjPRVyZQx7XKoDGdfY9AaDSKjAm1XlY+O
5LPWjTFDndCfhgsN1Y4Z3M6f5QEK96KrIxmfpn+DwBfONmkxJnBf70ZPcCF4RVgPF37QUICxBJ2f
WvfHnJ7alepgfPHUp8EvVx+eCmIB1Xwu0GQC46qfD1lJno+BY6v+6qYT9q6oX28m7UTwDUdggKDX
6iC31g+vd281hJaqavbKueF1a85FbRPQVIbZdNLsF1VeBupLuGGpDh028brIooS5T16w2oJS/2B1
FVaWu5F5V1UMUUrWw1x3OzlA8sxbVKg8Ava0VYYi+6kSPh4zv/FHOEiX5VddRMyKGI82/dllfGOI
5iAMFO0fOXE5/v3KTDYwk5ATPprqEAOdJi7YuM/SE6HLejnETv4mi11qM6AzL4fshoJTX+5zi82b
5sXtfnb2T+UYNzkDtDFxb0Z7PqTabrHtSLFMrJUHSXna6V9zwQ3fl584ZmJjSXY0xK85Aa8rpfOQ
6OGaHa3uPZd93AYinPTxca2Kg4eRE2zi1FuvSrssk4tBf+wMxprTQzVeZt7bojaPHOOcD28m14Op
mTl/mcT0eYced6bcyeCuwUza3g1uFaX93uNvX9tjqa3s2eehXclQDk7EjP5BWXPUV37oJoe6efWW
g6xI9yYbEhvt2hLe7FeRnbwpe4hH4SOeQYVys10wJpHWeruu5AhXAKPfRK9Cp8dBhPwnHrQfijF9
acVGva02fzIKJUmXcaoPrP12e1jG/FVbztl0k1IE9nequy5oCKwpskdcY8tpHV5KUR+TYr3TgvWy
8C6qKh5ovGVFJDfvaKiC4VDbp/LPiLX/9uYgQ9JAtWBv5tdeUapGr3T8s7FO0L82aV+VXt0VaXpZ
5v3F6tp/Ev+xBb/+m7vK1hFs2KHXaa1+2WHQ9NEcvYGlbHy2fNya4ZRBOwt1v3tD97ugc4kzoW6l
o58CY/xIIC2ccsvZ3kSZRaXuA5jtnJPo5FO9WautzZhQ2GkXmVpdHAY/OTqWdmxNsWMGRGdSTTKe
k17Gtk2bYRj0YK4I6pAJ/1taknOy+P1TEVRkF3TmQFcgf7pueodxjo+TbB9Xg1W5HmflvA3V8/HS
sL3jQHZeIbufYm6tnSeq2PHTuMuzT08i7gt859Hq51Xop/oXZdz9qi2fcNb4F5Usz+gZTH9F+ug6
Gak1+HyPvcpexNBcJpPzovc1ImjSPy+5LveL4k5bpuJVFtV1NuRnGbAal6fcuEquftz77XJdJskc
r8PaxzbJyVhTQalvHsPWheVmeEezo35LcACwhpeEpSTVVYriK/NaTBXLLLBt1XbcKBxmKcyTEErj
SglhHtxRu2a6RQziytL81IsT6JcGd73DlVflBBfUEvZFdk7qhvQM1h/CKrOu2eg7OyYvvJz9aFr9
G9wH8UJ8ULio4t1uvatqEpDXWABduvdJ1UNoGhicGbYZp3E7KOC9aXR1akmRnF2/jbPSv8iajOHg
Uo57i5sqLiqzCsdanBXOQ7Gsj3SFpypZLppu+LLt5aaunG5XbDw5fcxezYWtU8wbmJGraoo708bD
XDrMsIUdHLSOzcSlWGssoEMZXBsBjk2rMpooa6an3g1S5l+auB4op56YPQ7xRCl2HZiyi7xttFxm
1SM8NK72wrk08SnTgBh4XJP2zUq4fxIVtHdYWby4LXHOLN5kRnPRYfuFJ2pnpMcHm7TVz+qmsbqR
PM2yAXHYbJePLujjIY+i+RchnkbaXOHKXTkptiGXyj0yuHup0wmzc1m/2RnSnSFKnxGTRUSfKhUy
xurTP63FnVUG6V7r6qtSlvW+YspWKcu6kK2O3dXSOOSWO8Ys9XFaDY0zuHtLDO/W1jjr4SHK2O2D
KzzCn85K8ixT82WfrTguyN6VuzqonL3l+c/Gul5nY9US8zAOuznbni69v8fkgrxQ6F8dDlISGDVy
1gnRP1qWo3Gn+t+t0bxobf5asEncKHlf6s1jb8vXxO8fSt+LtTQ52rrWhSKbNyuL+shcgk4HKzii
un1Pg3bjioo31NW16rW3mweeg0dlaM/jIIbHOknst14V6y7vU/q7FMMvxoF2rwX9EJl5cKNZGPeH
1D6niWgvsV4EodaSl6mv9l02rQF1QWq+O7pklrAqVkBsA2sQZMRwUOtwUec1XtRG9qyHLtZHUbtf
A+9uJOpehNKrj6kWcMkvnftjkqxiBHMXyzS55vzAJIDtCQ/r3h/dIw0epTm/WFndNlZ/aXZTODR6
nCvW7WywUhjeUpqKdhzjNP2wDD1yqItWPpx1Zz1kqmQXpzzmKtu7sr23ctgjZnKVlgEfvQzrSOoi
aNAQAehc71Tz7vgZLUKX4mrG4yElh4K1dJ9eZX867nwZSP0OgOvRWMv73Gc/xUXTmO37rq8/Uxbb
Tazo2jAcZF0SNddvYyes6kF532qXiaEYNy31baAFbihNp7xutKk46t7wrI3AJBPrKXP749wyFCoY
A9XlLK7X3ApzoXE0Tjs7h/iU6tV+qTixE7c8GPNTmz50PFPGkpPw8V5gLS2Xa/wPw36svKNTDtz4
HEw2KxKVIuRHJ1UhD+/98dFsnUvDYPiuM6u0GZuqC8hVfGKoF6d7W2Mgvb47PCC6k0dGx0x8PNbW
ZrhZ27tFq2KjaaNAtm9ibK6x7c7ueBxVcV64ixbjri4Kda7n5JBj2NFcb9dr3Aplnx0hdYLKdg5o
5fgEyjrSOVZYcEFJ7yMdjGYg8UyY6Ql3FrzRHE9WcCEG/b5RY9jh5EuCZi+Cj22biUMlrtARB7qW
rVDAasNfUe6xlDMlY1lzTn6ug/rK9YNa66smheOJHmhCiAiJtjcRD5cd6/ORI92DpfeMAWR+nMR3
Wt/1lfmU0hTN3rDPGzuaKKcqbb4xajVvrK1L3w4uV/FYWUbUN1UEoXE/FclzKaCNZnY0a00IUvVq
bGQIXzVkWn2RzQBC3Zl6jslzTwmu2KvI2/3AktGk3xgZZLzuIU+It+AXkeG/cYMfVo+tYwFpkcN9
nPRYwQn1zSeO6V3dki1TAALTy3MHPM/haBPWI8vhcWr8aPWKuBJ1sOuv3gFonIzvQ/C6Sn0vRz4B
XsTMPOrwlPNOlTW7ApW5N/l65KZ3rLuuSM91j0Q1LAeRZjcst+3Re6Ig1Vk1YqmY+kS0GZFzlOrZ
eB5zavGOT28Xjxkf8Jzfc4fLZQ23+fBkGgDR9Z1pqXAs+lALKOrpyvB/5LUZFTxeaEE4RRcYtFZU
8c53S3Jqav3sJ8E9m4E3SBCxs/BmdIqNHudUpqeyQ4hbLXrIocbDBDS1nm/6pL/IFK8M/oGjX7GC
Fa5J8ANewrHBI2ThFy00jSl2ccveSVS2rzNbbot5Ycv6JtUtTO3mhWJsvAmaLodW4EDPqx/T7h4k
KukJWAxlEukd2cjSO2emH/uKmgulY2LLP1UgVXRuZsaxyosU3bTyWU9lel44RCoTXzbV8nKSPqzW
n8byg436Yzs/AF/YU2HENT46dnmONquFpKxGRBlc6tTtJvJ5OhjnAf+kmXNI2d4QGg0NfUnpENwP
G/U45ZAwe5cqa4Wi67naaRn607x8i+w9wRrU2tOD4OnTR/GQWsaezbDQNa9bq2WtwYwGMeGs5K9r
vTsE4tirnbhYcRSlxs0S6DeYICOD275McnYPx90UOFcDHDiRGEdOOERcne2LJLaMivRtF3uFu++0
8phUeITZfAqMeTdJK0zwIWom62T49mwyGAY/uCQPmsrrxUs/Mto4TT6j+YWjHq0lYjXLAQNv5rZE
1urTqUQJ9HhU/YUG/P+ydx7LkWtZlv2XmqMMWkwdcLh2kk7NyTWSQUJrja/vhcguSxZfWNDSetqj
THv5MhAOXHHOPlsMfKlB+GBQayvliuC1pDrZJdrsy4nwtYlaeAjg1l4atXK1RnflcIJ0+2Q3lS8A
KVT5YxwnSkZlrVjlStCvp322VqE5z4PKCdC6U4zII7pYOnPx+uxIAX/VaZPOw36oSs9kiJGb9bbN
jlMevQV1cwyKfl3p0JaNlKCc5EkVDAvVuFkPlCarvgHByYYdJANXMsWrYePBPowP6ZC7hlwi7zIW
HqIrGhQIuBKEM/1/BQk7kahqM1cK7E9Jlz9aCWDaUO9QVgKPRpfUFvdSaLmaKVYEUbh0IPdSlD+n
SuehHXenSd/J0nsZY3AAz1CSk4pRx3g05MRrbOJQ9Qi8tStXuCD6Vagi+bFeZyP14ti4mTsaybhs
faWhkbbjuqKCx2BAHy9mMLlhhCayT3YDFTtsqlMKMOwNTnUXabwlA4QA6qJIzHUctfuEuYHRnSyb
Wy+FqrwhODjrYGz2L20usT6sddhvF+rzUH529m093IV4x1Vcycs3buONGinHVDkGXEm1sVahhIhi
OyAZtCto8Lsg7qhJnh2kkCOltTGty+gKpfHKQU0I0Q9iKpEvJBen4DdV9MD/q+3BKxkWRK5jjm6v
PCtQIUtWHg6tq7ADl8GXIztK1AZJ/GLB6qpUlfIPh9wsOg1kmY7xQ9FX68YMfIZ4noCFWefbSWex
Om6Q3of2jQW6l2YE6dbrClajQ4ELh5SyNILcMWzN6nrRtUY2d8lBpsjloDHsjVxh/aJLa9N8xAu4
Mc86H3G+DEF7EWzHSmJa5pXTezgQlw0NJpDvhzq+zNV7LsWuwSzHlG7KlPJ1opZOUn7dvJHYL7af
ZBQz7NLSpAMNGQVF12r2ijpVS/GdgQtSpPBrovVkwh+2J1dhAlAfRvkjyj4FLwfRsDvRZYagyFha
erqVHYYBAo8yQu+5MwT0+fBCOReKj7x/llR/7kYW5pkjJ58fYs1LGr/PnhWoS8Sote2dWT/gTiui
izFcZNDS5gKxscV3Ia3vy8J3IMbFISBnsu/72M0+q2KjdV5kQ7dqudOY1XPjlndZ+BD3KucuBci0
0o3XueEsYJ5/BJmAH7quZ48CnoLmJKu6P9b3QyEFq545T97jSZcSHMfxI3OnmeUaUd+qbkh2M1w5
h2MEb3qge01vpeCiCnKEzmnzZiTbILs3OL56Bn5Wd68t3XnpYsRGaRq6mYMkWN8oiDQCahFNptWR
mRbeZXDKdSlcJ13njdJ1IeptQmmkTLTz/GlTu2AuHJzbLHli9oEEcyEgPVLTmbEfl4yFurOJqxvA
dUPHML7o0zvIba+dU9ZfdO9A5jKAZiG8Z9NlyUUIpV0sTinU2OGUcBqO22z2lpM52BnFenbu9PCS
RAdteJ0C8O+L5jwWbMgSppKFCcYlTbapfGUja3XiXRzt5OalCByWGdJwb5hBycfAaxa4yznia+PE
KR1ODkggoZ7VXJ3LQw4ObRkDA/qmeVMVNZI3sFgo/408rWoJbHqrGNDJp11Fwiu6kbTnVTZnuzjL
NH2dwj5FsPfQgqHHveGKuQEiv1jBR1t5dYdQmh0eX3SOLabXbhQDwUp7nCenmAj39lbpL8I+NOMu
pKUeOqa6/Q7L85Xabh1poNt+FN3ayHfW/K4Pp0o/zInhqaXqZRpJ876IZV/uspUo16IlcJ5SvWbh
tR7TYNCDLbx/pAD6bpogEz4YynEqb9P0DL2D9vUt6fwp+4hbz4kesuG6rM8Busqi22sTFS/lf+Il
86WzX0ZtM1tULAhCK3Sf9GnjHops7zxZ08xEkbFAf6HFnbpfXf+Jf6OPuAIzfkLYupnCxNpmgnRC
VrWqxrdaw6yzau57DJrM0EJ+Wjxqg7YvQTFZEkU2P9WmcZVntQfQ81hriM8T9QXNALBKcphsPl1b
rfJa2Y7RVWwKdtGFVPqVibegeqrHyi9NyNrZyWE2L0kIJcNjpaGmjTjNnyZobXZHTXgzG3QzoDh1
e5MOsEcpajN2X5EcZkQXFsRWZ8Dp4npM7iQqacD/ldJHqxDu+FhjaMCQir0aVl6q0OLDTcYRSwWu
np/a8q1npi3i26JNVrCBwv61kXYRDD+DOCTTQC/RXc39k7QIppAvKuVJpThDD7HNR6ixVuPR9/bF
rzzCYGnG7A1xelodY/HYoxhUy3OxqByM6Fzb1616Z5Uyh9HDpBxzrulw3i55CSnfbDIfsnw3wh8V
2S4e71rtyeykmzhF7tjUDI1ecmS0AbsOBb2PRddKSnZ5stcE/e2HOQCa6F6z1I1g6UI75u1rEPBy
ExjhfXNSTdAZ6dSN22DYasy1y8iHKRkh9Y7ybKXb6DZZRRAw8uIpwAM1ilT6AjothMqWDO5qtKQp
lmu9Y+psXxVtRtU+HTRlH80p9/p7z/g7T+EelhuonW4j4AC81PEGWy/NEasCuZhsXKqQ/cCXGNnC
QXIeCkIRpMOUhjSdtGpIMCznXpsSt9D2XQIP1uEip8DR8cXSERoUavfU2Lx0/DBj3mVRMKzRbzQJ
R1Wy7tVi2qtJuU/xuLLSjzord2EljunY7BP1LEmfsnZuMlYg7YpS+MZ4hf8R/4Rx2LQHhtgMOeAX
nA55wmNL5dCfNvL8WDm+KIN1bV2PbUSr4NvjLtVU7nCEZ8m61u4D52loKg8fHM/ilxJk4qpjv4lN
BwmcdNRy+K9q+xxrFhgVh+JA8JFM6gYa7lDgDsSBWg+Zm5qZZ0ZXpd0desr5SQ83c0wJo3eHqSwO
A6Ua1SUO3zBjyts20A5Bu9GYIcY100JGb5Cai4HUjXRyzVDbdWF0GKuRepZRhhxz5DJLKyFTx8yL
2ja5nkMG+dGrolTryNnjL+6GU7lypJugilcw4E5k2uJdeFMm7yFEeU0y3MIw19bo5gl/SmCzkByC
JgxXglhdYbE5zMiAFa+z681S/WQJpzwn9wKvKhI9UnCnlY5vGJ/UfpiDobJK01sR7uiBvCGO91PF
Ua6GR5AcX1OIdtHMtW4jdi4nz6hwZZ27bTyigUvncyOg2icxdQzuHbV0UqpoXcUcx51g5MeEZbA8
LEUVJTqCAJOBLR/l9ikHNJDj+0jZSeAAY8oxAxLTGG9DSYpng9l9ciowiZe03VwxSxwiX5njddHq
3sCfNFiwOKri0FVc65P6q6qGq8Ea3KmjaI7Gm2yyK3jO00pUfJ5UWlta6TZV5gckkrC09EDaUSDt
I1B6jqutUOy9Lo4F/3UKdgIBuaUoMMFbElSmG3WQ/RZVcM2HqzLaNqTlBRoOa2MKyjrnTU3Gjzm+
6zvcHIos3eeOtEkIt3KU6ZTTGUtpw4gqOiKpOSQaqiPTeklTGMbywEkVH0Jr8oZKJvp5Hh4VM9h1
0fQ2ycY2p9yU52itzB0uMu1D0Mu+hklgbuOj1FuXQquvsthZpwWLbjTNncNup+G7rtCHehy+m6aQ
LwSOHhBPbaDne+kiO1Cj6zREBxgmV10y3Y5R6ltZCS0LzHqCXIC7hAbtfibGEofY6zzEWEGpNmPH
p6JNjUWzLkfnaC90llhW/ayxfdVpt/U0uSXQIVEeF4txbljZ15IEOUml1+kyxzPNhBFzfl8UBddv
OqM8yCZfr9L91OhnWdIvKcqpPgmOpaz9SkTzKkXpk0BtgEvMIrekn8yB6UCRRplZWnSZSwc0wsk7
r8zHwgVGuAWhSVDExm+ZMUWeFKN3hRTSbstYcjycR57jDNWGIcOnwF0Rd35VM09m3NlrQm1v2inL
vAqsgXisFPm7+RyZE9382B3YYgWdO3D7ZOkbe85LXkd4sqs0XuUpB3xdP3aW9KROPUavdcecvQpx
7dGLa4KpUTDUyqNRq+m61dk8kmH4hGxha2zTnuYJ/YgpTS8pah1Xz+gKwty+aWJKQCVR/FIvHutl
3hAabn0NH55SORiaK8MsLpLcnIKp2mG0/+kYIK1F3iasz6T5gXGq/DAK+81Y+UKwSfVGHcjKXFjD
AcWYm3ILuN2JKC3Ek7fzwtD3l9h3Z1ds/04Z0f7E7fkyhftORQ3GALZvzAiFEfAI8BG+jwpCCJBw
JjTxuMV/hQq0v5ajfnCxKiR2Ne0KN0ggcJhpGXtpJG5y3fZaBX5b7bQPWVHdoSMP+TOyqwJr8FWS
jKofBDvNmQ6RiQmBmMWtkkxvQ0EBX8fQ+rUZ7zKU2ZRXCHdHwT2qh90hg5by9x9MruA/5o6qhhwS
HNxG9Cb/Dp348rKlyY6LZA4lL42NXSfGq6HXjibaVOmhpA6BYhdrN2q3i2EDStgaoW1C6FquZgRE
DnV6epJkqGJEIVbKFvnGroFDh3xFoiAsokdJfZDVncCwR51ch6Fm1GzVWRzzmmvqTVbQJk5vTvJp
g04qebaZ69qlH2MQugonsaoDUq0jnVn9tpHQFu2C0He04wiWNUa+kZ8LjB3o5Rr+s+/xgxAwsiSv
zQk35k9qkFuU2pvUnnVmkS3sQ4shXs2eNJorSSEZNXoTJDX9RlMxCVoqPkxx11En79Np10KWU1Gz
5ibBsGRcw7Eop3EjOJzTInArcK3C6Nwh1H1+16qtxmtIF336VotwJY/ojcW+cQK36K6nAkgulRh8
3tjTUWP2ms9ccfx7KUeODC6EdRg0u4NCQYAQvhzDvQUOM+gw9BraS+qnVjwP3SrEFh3LtBUHXS52
yrSpir1m4CGKj+N8a+HhGubbLHjm7FxX1W1lXTU2icTDp2nMK8zpwcdf7Kw8SJxYZajfxzonPFDk
YGrbTrP3Y34CQA+1+TzrgOU6xhQcPPT5eeEc5DhG74wsjaXRtWszPamDX4w30ojmt3uwRypEhM25
vDWnT8yJ1pYCEIGFVnWqG8xLS8MXzNuikOZ0dkMYmOZBMkzUOZw5uPrMBI1BxVy4nQy/5+A6RxNd
dPdhDhPG1GEXTPsRRkWH9J585zWmGl5YvSQwDVPrXEgHBW5++KLThVkc/pP90rRcr7KyawzrEuaX
cppAYHKPIcCubK7Ksr7nq4jsSUKsbd8MTgsvxq956zbuSa15LYB7HJyXraPzkSbwVBPApHDdxfW2
5IwWMj+YADeoM9140RUXpqRCKzjryWZoQY0TG32tK5tAwCvducQqE5fpyiFtrRmltW3et8kjgUBC
Q/L2YJfVHqU3RoljBW4cuR3R3JTzCdpMZeKf8p3N8NDJ5Ls3wc5kSmUOgKpatQaE/yypWTPzkpob
XYVpVgO1KkguJCDD9Fkl7RdCLfRge9sqkivDv0snDBJGtk18hU8Sa45cuFuIY3LwaSe+Ae1NI2bF
ai7O/DyD5Ci/8ElaVUgbZZK+G8pE45em/zKyeYcfO/Y9OyMaVtTHSIQhvgWkLAziyWkaT9cItq0x
gwHe7IxT0dLf1xwF0KPMQ8MlnlfcNFAarG0kuNIa2mRygvA3wzJq49AIyIKj5bFvw1Ucs2ugl+e/
WoORQkBFsA4EIiXOjHi8Kgpwr+uxasAVsFhKNN47FmHMi7Pybqxus7THpOW5w+So72DDKOJqyY3L
BaRsVqwBZmZUHB/0x8nrLF/r6BiFdu60Di4O+LPfDK/Qq/rmSmGiRAWXTV6Nc1YBYSlv7kgeX8Fk
LlBlKIChEo6xGSNLcH1xNTSXfOagg3OuKVh66RTwvT90Dr5xppcY8kYt38ie2rQyxpVgkI5gXfVM
ARfB9bXq5C60crhc7TZkLmXUrSsiEA9jIxl7ObuKsZ+AAMaky9XUZyt/B5GQ9N1YPpIA6AU1ezEr
t7XW82jaEN/oDgF3GOFXQCuvetnAjD8EDvS5OnJ7Gag4vNegSkmKG2YbXdkE7XmiWSsshkjy66S8
KTShTndKoiP6MWW8mfPcG1QWrrJPJcRkWfVs6uHWmfVdOI5PApF0olj30VifU+Vu1EaXCcxaFg1Y
C+7uE9WyDnhFM6gG6dpWa0ChT4w8mN4REhL7ZXI2EmUFK3c1GAjNsTFLZIAzThL5rJk0GfVdmJya
Hi1husmHg2oC8szbyvRDzKYDC4lhAusvXccdzncHJJcRe84A+nLH4IBDXdf6wWhvwnwzFhxMuunW
8i6TMFc4S/N9CTAV6Re9eBZYMDbVDG1S22FM7DmT7OfFsa52NejGZIanVAWMiFQ4BcEGnXE8ptsl
2btbBdaO+WQwnQcm7NjH7ytSUJTqYQaWNfX7EsJmiCIdQXIDVSQfTiQ2+kG6tbD15lOY5bmbcdNQ
yGoMWWw9tX+XrlU8CO34PcN3NnKIKRLpKhYAQfEvHByLIINih7bWYIQGt1sZmDVQzLTxlVC40Znu
qcF737f7qH6KsW2xKVlMcacv8Er6bofqVgexS0O2scKQbo58GfAzgatnWTp79hI027Ge3cJ8F1np
GuoNdGN8t2t/RFtKo7DJJ3XB1bmK3MCZVlPBzcbER6Htpab1ZKwt03VU7IPu0jBtkiG4lu1HVd2H
lMhV+KEGzhabKeqsZyV71IM7Sf4cyuvBvG6TJ/Daoev2XcFoEo4coF+wDHhCr43mPbQ5txfnMNwp
LfE5w55rToS/xgz/uVuruSNHBZDlFPG9dFm76Ry8YLV3KkCco1SP9ZHH+8hkj0ByT5PHXuvo5c1t
xAow6/p+wicrrx77/l7jfc+asxg1MSPcdsGnTmCp+GzbY5a+howpZ2bZncJlF98HsDvbgVx71iSE
5MSygOsGBgo3IWNR0VxoX+5GrAnTzNgQhLLJJH1dSIvhyKsS1Qv3bZ2Ka6UX+Pg0jFXPDV9EtVHa
BAfBMDtNj2GBMCACSYtw+qN/7vEsaY14W8LBkuQU5eZtGi9OKsp6dB46/MZUx1q3o+Zm2bRNdFw0
dHUvFxCW5ENDGQQzVx+VfRgzejbvHDzULVBRbQJxBARdG9mIZOAxk7vzJNULUZgFMeA1sTcRnCR6
SKs3rpz8oe9YXjEzqenSdfLaTo4d/kQxUmC4x3niKckbs9em6dlTh3m6My0Eyu1ZTmO/K9pDm8+7
KbTBkhQ3V6JdlUhvoo84q4fXoeh/qcMxX5TI+q8arAb6SACzyA6ua+UUcSGM0w50ARJkzlC1LtFB
229DUq5hLa/n/5jK/78L7G/EPtFn0YQRCFTCurpi6nOJqBII+P4hCeuHOv570xRWaQjDP5Y8Fb84
tejcacAhpH4T0huM9R/ahkVm8UV7CLF++U0OClZbNwkB+abYm4epqlPGjt5gUMPgt0zP+/fGRFm4
+f94hO6Qfw2c5Tjf85oLg6g1Kcio5T3KGdd0la29e092pl+7lMa7/7fHWd+y9eLUUI3W5nEWYq31
6JmujETNZRBU+/M68ySv+SH64qdfaH17iZoI8KCN8SMoUo95gm88IiB/bxjDkZRKQ/6zUPCPn+3f
79RatH1fej05Ggp1tnmiWZU+mmG3a37IDfln/8zCMGVFRnesIP5dvuqXJ9hJPjh2y8KInMxtgo8U
LKMC1f771/qtaPzH4jBZebZhsAqVb18rlKZOTgWL3Y6l39j8r7yG6220n06W72uo+xhQ7kQcnSZN
4LvY49YODKQAfgmb0niSi9ummC7AOje5PH50lb3QQeTyZJfoAGGGPiSJ9WvSiXwLCse3etRyprpX
7R7HLe23P0/JQE6AthAbkWQpBAHsrLAJPDgAtcPiVToaB+yDnm3IoSvD7FpuNK4928K6t5qMg1Km
991ELm3TXKnKsHdsJmyj+TIHybPMnHYTDKWxxTS7QPih1D98qH9iLMuH+vcb/Lb4DCTQpImw3iWt
3jZNyc0pMOYN7YOeyz+cgD8969uyg57V5iLja0FpxGpjmXtn6zIUtPDtDytD+R2v8rel8W0Fyg3M
xN8rUBkhzCk9r1wKMMNVx12CxhHsOO6yM/ZK4UIR/Gim+qA5AT4j5tqkXBe9jlsaeryODsSq6f17
/ZwaDJrUHCwe88XGw80Jy8ZAp4uB4BwYezsLPBy24fJjlvKOzBmrhu5SpO+mma0HYWwyzMtcJ+nf
zRkvjzbaGEGxMcPGc7LaH+QCtVoE65POQKpBV+5iGZ2leq5RjQ7ktjQd5S3eHlHQ7iioHMxCNK4u
x6x8075LjMptqM16GMIGZe9M2VU/wS5aM9dYJzgPyRmAVCi7EdrIpmd645ibXD31QFxW8igvt7wq
tmET+WP2ZEEG1sfGTVi2JnanM4m8WrqycBQu4ne9NFBjcj8r8UGC0mnWk6eN15EDQiljgLRUjQ5Y
OkkCLjwsUOAOax/8y0CFml5sbB1jcFtad+JDo3ceIZNn0K9jG27FaFIUwsMRsM1YLSMylbJ+0cPR
tyCJRGLcSfPBQGOqAiH3LY53i0ZBT05YMXupxbRHBhnE8M7PcD+aDKwxnDgUfp3gJyMoVjVtHZg4
dEbZLxl6mGodZfSh8lw/FLEM9whVs81BQFQgPTcYHcpTZTDP9dQir2izm7wa2aoTnygR+T7PmKnZ
Vn83I4SNXvMeqi09laNnx0YO/QJDKlEP/EzrOpPt2zZtX1NmalUeeXUfrxn0hR0EGb6xCq+vzbqz
3J7bod055r0BibcnrjvKn+YYWVIHlTPDV4ZXpdmqH0+KB9hLg0r/W9arSLmk9VZiCSY6nwlKrLHM
vuTkp+31xxvEQmaKP4RGuOFShXw53/Us0KayTbn4XfhV+brFedVvt5E7QpE5qCsMnrz4h2JDWc6H
f2xp28KcX8c1/x+RirYR453S/34onqyvzSnZ9K65Uh7MR7HufviJfzysvjzsm3i/ghCpCruQvCwT
vxRIurIJI0Fke4LUfijZ/vgyvzzqW2UYDX1hTQxVPHzb8QHHni798Tz848/hxZnYBDg869txWID9
tUkPDxma6IrYggf4regg8ct8MZ+chxmB1yq+H7ZgJ3+/o3968PLjv66UyQgSxglEEkT2sNZaJjwi
ww3TFvO1iYjkh8f9vvL/sUi+/NBvMtZpMIyi6zk2+si6oXYN1+moxI9J3W/suoFV1Da0P5k8+r2l
P0XQJH9Ypn8qfVicGvvPIcXX+fYXcEIRiSYtkeyi0fFa3VC3XQ6iFmsYQv3n71bFU4WCnjgzVfm2
C+cAd2h14vKu5BcBSNuHDq79jNzq8envT/pTV6FapsNPwl7GsL/9KC2DDBgtXzGbqq0S9Q+1PO0a
pT1gc/VumfMPOqg/Po7cDnkpTfDpWE6CL4sGn3H2esw7nML5lxGM+1lbMHAV3YgODwQL56u//74/
rVL1ywO/bY+SGDc7/L0F51td+oDCiUrZd9qfzrA/bfWvz/m+G5IQo8Wa96j2uFnp2isr8Yd391v7
/n0HfH3Gt2/lCHmY5up3x4TmgXlUuA/2MUR+b1wX11BJI88ofMv7+xvUf/pmyyv+8s0g3M4E3fHN
JKB6xCMSUYyO8MZWhnSjXey0XWzIUJBVZgDNKK2phkMcKpu8dFa1o15EVF6bWYX6KX01BpVer4dB
KNlz67bWmILVFjfD7JA2kGjE4sGOBGOIoniFHk54Vg8PM8jmjTo2xzBo4FVH7UEOA2hDnTOuLTqA
Y2vmMIXQZOP/G260vgFpSfBTmxksSR8mCp5cFHedUG5KJ+7hR43Z3rEi9Yfx4k+r7du+xUvWqgeF
/qvPBR5yafZoDsZdv+DicdgVPxyJf3qaJuMOpWBEbSvfm/ReraekRSji2YZ5JMdxSZOLgaB0lCJ/
XwN/Ovq+Punbtp0NtWz0rAXiGLwIZkll7xuman9/yJ+20NeHfNuqlYN+gokE62xWVnL0Oun3f3/A
T+/r2x7tLIa4Ql6mh3aD+uWM3+O6wsluYCjw9yf98FOsbzWGaIzGKSaelDA7nqEzl4xQ//NHYO+1
XIjLpfR7137ZlWU1K5W61ExIOfEeseaLnSt3v5/x/+3Z/guLEdnidv3yzv/hEn8s4tev7mz//v/8
256Nf4a5o40HmmzwMf6XPRvIGfccCVfc4Gyo/2sQjzsbaaugGjZhpTjLa0uU5P+4s+n/zX1vkziF
ocWyqYnR/B8T++t/3QT/ih/7c7iVbS5b5suNgXEU0b267ODoBFTjqN9WfGJGsaZ0dgBBTHmsRBS8
5TSg0FuaU5sZ0m0UYGuQ5HmxTbUCPkqUlnjX0JZklnIjqbWJfW3GzGrA7CXN0+g8x+bkkTH9gatS
67UxvofVyCQQFtRWUjEz7KNe8pXWsa+hekab0gjqFRFYOpOfQPhYhMXowtLQVbKc4CCtGWGYw74i
T9nCNbiFyx8n7Zsm60+pwP9GEBYDl2zeql0SXYdpCnkgw7MSgYLqwmLN92mlodqFJ7zJMjpZue/H
zZSk5iXXEHJIEgQmXcibzAjDtVECi8V5UXoVijKpYGaqN29F2YabNh8Ub4YqgcmN9syPs32Rpqjb
C7xyq049LX9rv8xbxy2XpNGwakk4qobnrhMv0mRCCO4jc4tmHVRxoGvrsb8Qjv3a6BTko9B5W43B
zAwPU8wjbO4gQcpNO6rmJu5DcWd3ZILaaPa2rWEa68ZRY5Kqwno/gsWuGkyXd2Mf5Keq6VD1wOet
mz5ZBSaTjya2TC8CaISYrL/jwgVtNGPGVyc6/2M236HeiF08IZGd6XXrYWqMcI4LcWNgtu8WKR9w
zpEERYrcry01wPAjkHCGl2B7ZKM+bro87xCIpbflrMrEQ6FpXoI5kj5sbrpgMP02GJ+ixHyKNYkR
JEGYS+f6mkXlu4by1Ssk5lWlwxhFYtbhz0p9BE7h38SiCPDgShLiei5ClsogO+upRhxSCtzVzVH7
FB20pXrQ0OsU78oiZwkWFTsggu5VWLquCe76JQg1Yhwdhcy86qdAVx8zlXyOBFGYy278hDPozdb0
CP3yQeEmXaUG5aaKgXVYye+iAYMj6zkn/or3qU4FLlGL7rnVeHHsmDe1txApIOf0U0CeNl7muqX+
7HSt40umvpUmMNA2svgzG+yaQrm9hGV/FRv49fa28trpuCbEIoLvlzqv5Vw9WRVO9lHaBFuyCh4t
JfplJ81H0sVbvTKeGwj+bd8/JhmJClM3PbHyryDsCj/H4nMKoge1TIgFCQ6lnW0aW7uSpeiB8Bdp
FWI6vPDrKMxwQG/1rQwjfNU5KHD7wRdT8Roa0k2fJKErI9bC9nUEG6yetAG3I0h/76UxMjUpks9p
ah8GEcL1r1S0ghJCbSxQb7WuuzEqGEJgOscuya+LatJwcUvRNWTIrIxQgYMQixla/lhtRaKRlYaI
ey2ni1TPYRTfT9FTPkI9MoPoQKDQIwm9xSorq9uoRWSkEmOzlsMQnmA/nGzJPvdDc3LadGsq2abS
UxxPLKK8HOTZgVU+d4te28Yflmit8B4XBBm3twEi1iLvTtB5x4vgW6D8thjG+rKVxzdwfMgqyqXR
KwbQQCMR1lrv5WQLG+aZ+CobTGa6Tqo23MeL2FxrUXk7OsIca5I+gkWTXuUDhExzwt+kCzq3mocr
exGyk88TeP1MWhkh28d2wIIEYmWwsgxItllQljexARRG8tPNrBp3Vqs3Dx3SYfBjKXEZ4ranMc+w
6U/acD1WE1lgIq53ShHqx0kgfSTp6L4Wi2isxCFHNwz7nNZOClllkfIjdXM24yLvT0VnHx0bx5xy
Ef8PEicJRvbw1mbtrlClyIuKHniAjZVhHoDCBUbUfDctNvGYCySLy4C++A1UktP4IUc2Aj24uYsr
QRRb0MoxpkF0t+608iUw8GFTJyjodRnXKxt7Azyp1wnMLgPbgzYKX6bFB8FCKTrP+ZWEYz1paHzt
qttnWCfoi4cCkCPGI9gqQOnoXAVX72AAhWN+F4Krzq+RBbJWKjEUowmrgkDZhBFDTbLGtNVsFhl3
Euxim8AIqBWx5Kpa8C7byCXDKcL/AZPeVaYSbog1xDCWt0RJQXXBNKKwYTUj0GSYmDch6s72TVKb
XRVhHzV3uE2YOmxqtjt/LpTzOJIyZHX87dO+7XxNLh5gVaauhItFi5tFjatFNhImYi1GFxWOF9Zi
feEsJhjzYochL74Yk31BVvueWxCc28U6Q0o0eE69eFUYpBJ3x0gx0pAHlZ9axkbGf0M09XHEj2Mo
B9BQHDoIULwjNhIysCmuiWL7lEpasbwOZ7eVi3scBkeiYexnZhrEQzVwj4cMhHhQIWmjd++8rg8S
t6vVsx5YhGyh5sOVeZPoHM9WZ6AdtYTltlX5SzPwmFhsSBRmaW44QCvvelHhDdS+dtW8C3AvSVpc
E3EzUezyOaU+Imuq3qkdTR71UAmYCnYdydE+kBDO6NJwl8lT58ua5KtFAMtq6ErPirs7Z7A/p4za
QY1lOJfNmGzmies9yWVIghwtFBt+UJWHPFa3ShATr2VAmu+w+MfI77acEINZ8JEzIiNzG6WxWhcv
vQ4eDgTx0EZ6Bb87yvy4oTWMBA0HOFKAQn94FqY+krExa56upBWqABnXIHajLVuHxtHCdWDPmA0O
OzICya6JasKqM/uqj4jBy2sJcU78f9g7k+XYkSvb/sr7AaQ5HHA00+g7RrAJthMYeckLwNH3zde/
FarKUkplMpnmlRqmmEEiHO7Hz9l7bfuXmEMUnbSwmwHTb9SH7QIuIKZEiQuki/pDOs7ebmzLe0TP
9bIlEg3aAv5Eu4UMxciJNvINr5TQql1nGSyGqa2Q49kWanGBS8gryRAsvRF05sBpCybgFZ8HRCQz
/8qi+CqtzOPP8Rn3uPFHyvmzaoPmYkFiWI6d901WBCI7YfANkSJEyyIBcd8X5bw2AKsiNkYC1oUS
bZt0ZrrsgffezkO8nEYisnQJc8rJ5YMR+dhe6/YYQ3gsKmxOLtaGynwbxdAvg4J5S+dgHYBmX97L
BkLUNMIiRC4Uqb09B2oVBuN4GJPf9Rx3505Ha7MpS7CHZEq3GGKLEIfCQPhAmSG1w9S/aWBE4HhX
+uB35bXzxh8jBSwTBVujD9JVil0jDRP7KDJ27r4fTlPlFwSoIy42bLygE2muY+4SEdn2B2RC/Q7m
+GcyRdMKFM2JtuEZ6DrSrZmBHrZ1gnkaAy2MzWjLL8aL7fsHP27umyk/I1p8jBrkLX4Qbx3CBAvt
fMiqcFfYoLxt00RHccs7SeCVpfbMEIK13s9rZcX0JMKtvCVPNKX7ONTKWxbheJUF3hknts95hGIz
01a46x2334wdA8hCTIicCoV5t5rZSEn+WFVumG40ya0wMZJXB/oImgyeWcAayc3i5NrZCycd55QR
/+RU3Qh6p3hpmNhXMktAnkJ86zb6Vcruh/QjeOBOnm7iGBVHCXiHfHnnYsx9Tf/aeU1c+8nDVcgI
CwlYlpcsiH56zOz2YUyMQ4wNzu5v4J3w5M/MDRLeKQMpx3IKmTAVnfVdFdVd5FFve/bvXJYfVAzh
uiSgaYsJg+WvvVfPxtc2jjW+8AaPVsQLkQO4XJmcHE8EHly5hLzmw/BgqTpdqLD68KrKWJmlfm66
aodO9knLSLPZiesYpF+Ukw+GTu4YNjPF0x7HspcgGPOQFM+l9TTNDcaWof10G3EePIa2aW9tG0bI
W6OpH7kGMNkyGItpqyBfWqbBFiEfluJCynVLwMHKjpW1jnBDIxYkUZdSOrji07GXmeeMkFzL+FCG
AuHpbBsrFgSJWjE6J7+lWS1id4Dz04Jz8HqDFCO73+a5R7+qQ1hU760mgr8fZZjSrRjZ57yNbUqF
sWTu6Uftb2cYdn6DbXusHpMQrmzvIdOB1Y/DNNfP1uh9mGV3dMPwu+ToP7gu67adToBsSCwZsgtD
0Z/AqZ8CnTKT7BiJDZX/1DaoebN+PM1x/cXGiSC6T81Fo6BLkA7DMww5c4bY/z2GfOsdp8G2HPJf
Uk6PqgLk43q7MLWWie6xd3fDJRvmazqCGnTMnjFS6jC+IpPi2HfhaxrOn3M8kUBCTogOmyvwjztc
s+emSJ6xa703mUPcUk64vAeyNHG6sxGQixu6uEdJQ52H/JVZwMPQjRdzcD/Tm20XmtNj4YzvJQ7y
Zd8MD12dX4IBOyjliL7mkC63o0o2PslJleYdS8de3VmRYdxzm6meRslQcCj8AOqt+Om4qfZtsx88
jVWm5MRUmLH6ObrmmYv/07aOltY/kznhIwm8CRJLPlz9hBHo//Vk2unvmeMWXbt/zcy/K+oi//x/
T5+EmH+G/wDP/+/2DD/+Z3vG+YO5huvYADukBLxGo+XPAD/vD19Z0gESDq+FqHEaI3/2Z8w/bJv8
Sh8NlK8c/BQoJ/7sz1h/KKLJidpjbyVk1XfUf9KfkfZtAPjX/owiclxKmw9z+DWQQfHv/9LEc6yy
LgtPuysvnBOxIEQHOHRgGnBWSMYakPR5QKRAZ7LyVS+dx5ESlRd7yIPLlLu8sDUVzmlIIDrniak3
HoXXQ2v7RHAZzY0kkzWI+/Xstg9tPOb2zu3y5GTmuNwgShAeQOUXeU9hMdIiKankQPsJ8V2lVi2O
tipRSkngQ6EfpQ+BbOpzh03lq1EqO9lc/fYlq/+O8rU6FuSssnOOE3lRLvvRYEWKuFIrtlZO6RXR
gzHIZgn018zbvRtVM44fui9lcpcnGeB00fbPmpyVmxFUjafYVv1zVkb9r7CEI5OT63P0E8jbJQXD
k5gZtywCInnOHJbDZexjH2ucKu8cH8R2Y4JoWyVVh4Y8xRgoVUJJWROLrDLdf5NTyn4WmUbHphtT
dquGYxQcdYNJn6zurdYllWKgphq3Sd23CN/rKk53iaGSl7mcY4MAsVmT501LLV9QCg/lOud+ioLe
VvPGjMvqtVQOmIvas+HFOAVC/iDu3Y+q9gsc9rH43UWzvWsJD9zLoUy/XK/R14b75SEJPKp0Zilw
pKyee9nAReZJqoBQ2FaKt9x3kYom0qJIyOdHVaTxoS5H75hVAlhtGShvg7fB+CYsqoXVFkBgbYys
6LdK3eJf87YYP4xorCTpzoVw1n56A/7YHddvgdHvpNtMHyK3ElfyW2bYdKOTXUZDDLswAc412p0g
lKYcXocEkNxAI2OVmXG8GgM07jVXYIF5oUbpGTjxNzCFaC8p/DEGAhvE79boO7+eCZlM5OSh2TX0
j12goI5QzcPty6PTbJGJs8jDZj4lZRA8kXzFR3CTKZZytrtX6ZTRKwmQaGkEbTRYBPOwUyLT37bH
qIpvLssvEfncu2iqi6+8gNODo2Y8FU0Qbo2s9R6TKJnv8TnkZCbf2LlOP7TXoi84vsVo4T7qJxXg
Dwlc75CTjrg07A5m16DApMatPhhhC4Cqmq0XDab+BRER3ZOgTeAqAf3EOoHKvG8tICMYHz6cvoS+
il8w3we9BgBe1iZBQx63TryloXMOoyx5rC2n+LKckUXtdfreUTUY+MhVn2Pbu6/YLjG2F5Wvv/VM
Jt2iGrXpLwcO0Al/GoD8JXUUb3xeeV9c9prf5ux1r7WbdncV3mh3L4hxp+ArwjPqpOmo3Dg82Jhv
j/UQFssWHBULLhjl6+glgBk5HH+VhJxAMyv6kNtECLtmO/ldCKFItP7XFPg0dEYnrO+FFsOpzZLg
IbJGAt1aqz/2JoNe2lG90+Az1CN0M6uqDpVT2s+Vbwc0t6S84KlufzLUv6fWLexVX8W49YXM3Qcx
pB4Rd+nwq0xN56XmGK7+a6T/fwMO8mccZfnMnf71WXrt8rCrP6PuH6Yc//ODf56i3h8Urabv+SBN
BSMTRhl/OUUt9Lt8lIlO82/zjz9PUfGHz0hSCf5RHHHCVpxtfx6j5h8KcSIJCoqt1gLCKv+TY9QS
/zShtsCaO67wbFvdhEvOPwPbMTp1MugisbK9CKJURjvBcbofGHlqOZW53Gmh8Lhw9V9Kd9QHQhRP
ynTaZVWMKRfBwt1qf8QvK4p5lfSs+FIPv9yRDmEU558WkgX6cAiv8KwRv9fmryq2k6XhR2AGtKxe
jFkGy6pGdTPLee+HuAx72MklnmqnIgrNp6eH275tYeYVwdrpaYd7ZqHAAQ8pRi1CXaZCIiMEeLEL
nNFeViaKa0YxQEwgruNOB9Fkoc/f2hwoG9r+cgXrM7gnycyE1gzapa2RCapwQrJnWp9mkQBrqogB
tduuJ4mihsJtxSuvor/q5uHvOgWG2faCjA9jPLaK+15ocQkSGqjXnOUmd3kCzYJh+phdfSkyhaot
0BCu8ChJgVOyNoH5MmyYb2xKjDRgMNDQQmlrfA5WSJzWAofL7wKS/K7o+3yjPUjFVqxJlUCCOKEF
20VEdyHFU6TuWuG6D3znYETZZw6mb03qWwHoEn3f2AEKskjOdgFQZhpedlJAUcqT0AGALNKtgF1k
ynFY4vPuEeTY5c4bjfd6nL8NtDTLBJ/BIuYKwiUb011RT2+maX+6Qn3kZZUcTA+nTKRaAkm64Cud
ip+p4wtGIN9wLYt/JQ3Gf3vwn4lMv7SFeIr6/BLOQbdt/UzsbH/cCnOg4epke8tu3gC53skW9ksG
P0c2GVYKXIZWHpOP1p2Ldg62Qz3JVWvN5a6je2Wid1gGdYd/wTu5BtcXRFXVKik56vNQPldji4nV
x7Ke+wl8tKF0l3keiFVlQuIQWFalf8oc9drMORY+hLGeyZ29r5N8G6ea9ltXXTqlr5Yc/HUP/RO+
WVgty77AcD3lwdJ3u32lweepxH8xFcWb4rJ5M84iyTStV0pEeliJdi8ddE6qy5uhqC6Duz7J+m1b
MvehVilY9xF5rxPqDMqp8WgVgK4j4vcg1PsfiSBPMM9nRlDWjnmDy6ql8wVANl56CfnOZTw89WJ2
4C5iS4mz7N0zFPlRciRG2WKGkqbJV12VLRhM8JWVQ0jk7Ako8vI6tOrKDClZVO1crqmpaOYg9IwT
lApzj+AWxCfx1IVy75ygI9RZePQop+uQeBdZYzWODF48O4u9NXC6r6ZHVAYsfxcGkHRkJV6D2D/a
0qrX3QirnYy9e8/NrhlzfjTgA2BniqwfxxtfZpf2vqMJDUiwm6/K2YPJnNz8fOF8gqqF0bPJ6HD5
ErPiWF1JuzOpfCJBjyIi9F7mtiSHhiGhVVuE/VmZc2oaYNXsJSUJ9jClHKhEu9IY/FVaj/AtOz7M
GyMwiRlY8sQ1mTcmttxyobAPU0a1XIaSKsYtq5UIO17SdH5HtKfWfTLlO1Xil55GDNk9EYeigekU
4TJ2Q/WVGxhpxogISjep57cuBkRoJLQHg2IGiaiAPvbp8K2Mwuc7nl4Md2rJzO2fLd3ss8IiYkdM
n/lc3M+M2f7vAI//6zbsC6KebvaKf32Ar5vsp/5Mvz+bv8oU/ucH/36A29Lhcgme27d9VH7/c4AT
IndDkSNDQMVw0xv+/RrMLZiAOMh42N8J1+B/fz++xR+Cqy8JWxzgyBN9/h/Wf3KA31QIf78Fq7+F
ghFh53GeOMIDb/ePt2DZM+nERilWUfnuMycboR395bn8tzLiH2JleG7/+yMUH6KoYjwu3P/4EfVs
0xMyXbHiyF2ZRL+LlXn016TqrmuxxNAb/3vd3P/6SD6Gi430b/BvHvE/fiQJjdKUBR+UY0rB6rFo
zX+jNvtngxHfl1AoSKDPmRRAf5Oz/LV9wCUpZPPTJqdkue/0NJHJ6uMryREiTLRNdWfvqyD75E//
YC4uMBfKx0a1R1ugXf83j5gF8ZdH7NAuUbbr8MuQ7+Zxj/+nb5FRnOCo782V6Tc1ORk6hMmMBakZ
LHhcbE/V4GDYbqI7XYByDrJxV8d6b2CE6SaseTm71Etr+O6/McLI/1pAf19g1IWkwgk6LBYPC67I
PwvlRu7qaaJ8qEMubGJRMj8aJFeXWSeneBxex85Zt0HxbI/GAUM9I1UvOietvcnicGfM2XW6TcwC
b2+pcpsY0RPQtF0q52cn6w8Zd6UCB7E/Fgcx5B+tlwArlneERaRjVC31jIO8tPoX0nEZp2Bdwn0E
/i55ZYi4icpxR5fymMhiCy//4AwoK1O5s6L6wbPjtwC+BtTragOsfx+m4c60gwcGgNvZxgrcKhul
JOCB6ZbYTJchXNm3FGd6plB6++TZrXGVjJWRn+3UtUhZbrBxjiBHzLSRe1RpROOmfHxoDvmqDZmU
xMNwa9iSIh3c8qTTFnxs7po/qWSCEsclcemV8xLip0BmQyJ1cMumroT1zl9C8Wx0ehGm9ZuTJ2z+
wJrxtH4ntX2Cx30fheOPdKbjTAS22Yi7bOLwNwnHpjm2jwnLxpd/9uiLQOCPPl3itOOwLHBuE7CN
ckdG4ptoi10/GU+j6u4HvOawBB4QsTBJ7rhg+/kC5fRhiLv3tL5l6SRJ85wYDDwURFYEGAHzFr7c
berXl1Iz1iEaxiX/w4YV4Fb0zFucYoTPTVf3NhTssu7elUkP26E5RC3kzMrZJcJa2zaAI+iDu84p
76xh+omM6uw31krngNIZIKPe3gxlcGoS/5DCZxp72HSi2vc2M3Yj+lTgwqwJCkvE7HfQbXiKA+dU
3TxUTvLkTO3ZEfER6ciL1VDSOHH15cT1NnRb2A7RuoqageAesRoBxpWvMktfQmZ3VkgR6oXmRyTC
bV1xBXGCorvy/JsjTGgOezwtK3cqyFxuOuWeKX6dczmbAaFsQfGKn4gg20hZ59GCRzK1Sb6RZk++
nKfaVzVn3n2YlmQwF0AF5hRD2Zi5CQFys8XAQs3PecSokoKKzrlDVJ4dGT9uCQsyqRA7uV0Qbxor
T/eGA2lQe+bJGMSVBl7AQKTzD17NpHYOvPTqOhMUNtYfeqV0bc9Jv/TMamQuNUMcG4Dq12nbwe1N
v3Im6yuVCfdFgFPlDClvGHVjWpFz4e+FX5PwIgYfYvrcPMNUQoCms2bZ2jaWLC+DDqYlbBDl5SXT
yFxt3CGhvMvtuFraDtoDVcMgqEu6h8TZ1RfToYNoJMx/ovBYECaxKCasUw5fVeeEA6y/yN214pY4
Ax9l0RdFuSl70rKE2ZG2kv8K086i+q6atYNR/wY15b8l/LNVZi92Jp2FNzKE0WLEpp8x6amHFtQ3
yE3q9GOfQNPzp2LdWul7aVL+ZRFx3lnxJOh3UXSSQEc35TVEJuYMLLCxVs+hmz5JHzJR7QIQjP4m
/aHRyIywW8ejX+9qL3zOdFItJ6WzpSst6C2kOYMKNALCsSxrGyUGHSiIrCSXnaPAeVDeWLFGy0vs
5pTI7mtROb/Z2c+lhPOAC8yAS9o9tBluqoGUcPxPzRuBDN0i6Py7sTQuQkRPQ12tM4IaVZx9OXN7
T3rd1bmJxVRjBktijUYu0eETCol8kVrBPrQ0SFm3AmSU3Fd1+8qLDCDIF5s6g2lGEvZKZyTYG8nw
k/mMuMe5AIlp4o4n1+oIIPGjjp0EdTjblyN+m6kHqp1gJmbDWMPS79I11zqx0KjraRuI3F+1g39G
evDk32asU4aeTOHE0Lf5eaTosIcTP+6SipBJUNfu4B+Uqe8Had37twuO4QB4GWILgUbZMU71u7dy
5HuzSZ8BMpRDywWF57fOtw7I6MucnXack56hLpI1xJL0ym5n9hjJAA3d+QlCQjvvFG2B+c3qw19Q
v3kVIxhDuqrvCw6fvAhcmDnGu1Vx8xmr2l6U9giHqea3DeJs607OZ17LjQVf55aoGGmmpf5o7sME
9Y4fqMOtt53ZzlEl4tq17gYb05pYKxCmYYNwi1m/jp/t3DpnRncXZc1dIGC7lSFjP2uPXGqClWOt
B7ghoylnwjMhshgjZHBt0fzsiglwh0Wjpom2JYPkMMWcBzThzYMDwq1l57ZECFTM38ZBEGRNIoZK
Px1UFiFGqqHK721hrE1eZYHX13Eee5vwjt7jE7mLy42n8yOb2CIFKtQ6n07y0SDeMUA9UEkxgxiX
VXwQ3V1ZXGab9Mr20dUbUb7IpOPiebL0RVj73D75zf0oX0R6RfTYEKbmkBb0nTAaFMzoV3l3zMND
iSEyQKoEjcK230v4kc1PBdKBgW44XYLu3k4PRv7okATlmnSd2pWBdSOD8jA4XyiQYSfp6KuD1cN+
tyf6EKunWJtOyZkTrBN136jfncZgulX5LzxHi8IiYSCZN6HN3OcyWHSxLGfb8oJogLYSminKj9tw
ZmWQAkJDF+dEbh4to79UZIEmc/FWS/tX19cMhkLhQfOxHowYbAc4nshKH4SLaRGcYCzOSfiRBBxq
MJPdDAmwBVWxvczoYjHMLZkQh/rQhD2kOLkS40FLc03RsqgAHDGRe7Xrmof/JtPnFBtm6ohVY+94
nTqt+LrIX4CI3I5MTxXPcDB+zQGQoNL8oYdM/936oTmEoYHgjClYh/JhiL6C5Cqax94lByV1vLVl
5BvXUC++YS26oT8GrXkfg6yQKUCW/K2MnA173J3V1ijqXJjCGhpJtmRa03UU5MiS2+hODMlT5nFy
IGqRfJO1yF4nuBbSTE8TYXVZjSSkSR/9nD97aB60T6hXMFws+mZJE7hMgUfQFcuqw2tHUmuJkjrJ
PrK4uWZZ/arRJfV2vrVFy4+91LoBWzXWp3BGiBL9TufqTOweKxmE36i3QpxlgB4hsZ5Sv7sRlMkV
im77GA2Zek2E7lYKuTKKCk3Mlwbil72YAywQzL1592XZCcyp7y4J7wA6N0qvCpTDoZx+7OR+Epeo
0Jz/MF0qOnZpfQAId1sFzLAG5GTOnkMcVEp4Dot0mzLhNvNmUxdooXoA8Hp8sJCQ8ibEB5OgMBXF
EHinvaOjq0kIAXkOvD1xdc+BCL3WOIv5mBk9wJBsk8fIgJVifmdsx1QNdzYm1jSklGoAksLU7Ay4
PFrvax7jLawsILxItvAd/XtuFCQKQ+Mxq+VovrnlQ5P7W5EBSR+dlUcf1bFQJQlCYTjD7No9E3ex
QPqwoEl+bJEGlyURvzd/kWZM6AJ1heTbXwq6n0nc3/MrL4zqNdbfrvgGY7k1kZ5rMtUGD/HcmN73
7OGkRW1n8t1mv7xYJTh5FO0LGV0iVGWUqPY2Hsu7rG7XMmTShr/aho9s2dMqJonNguRqhc8iYA47
o2BGIiTAXTtevxuMp3qCjETIWqLDHcqxdZNfI6DSjA1XQ7Ez2nbnCnqeYJMJkyvAd5n1vKVZu4gh
jOvGB0OHeN04JNHPbJ5bnxQ4bxVHv7v4xXXRVqL04tuUx5L2bRgu7eQtm16a9NkiP6Fh/pezgb4T
P8q2Dmzev2U9C5SJAyciLmOEr7xJE21J+mx5vRpCeW3djMKQhs94lHDujZ5HHHCUFz2JCCjPb1uI
uGH3XghKl6y3iB4klMp1WD9U/TVrifhyV6ny13QXFkMAU8oGZiPNXUWgUAZyUvYhUDMbc455GyCv
mx6wnzTquylLcMgL5FiSg6i8DZco+6vmPqzzFZlnC23+hOHFcWNoexy46M0nUMCOj5A6/Z2VxGwI
0vZeTe/BJ8NTdTkzNFbrtycIo/hU1sYp7obwaFQoyj2C+jJAZkzs9DqQMX90uBI99GhC8ATmsjcv
WxszkHhOYV2Ym9G9H8DvdNlbb61NaqyR2SCqNvKy44+qgHHbs9TiVQalt+MoNXAYENirL5WPUnmH
SoiFtk/UUevmLCv4F/Gl8EBuXyWinUo8ivS9AP0K8SnMifnBGkcPcGiTbZiwvoHXjg0qJ1eurYZF
HbREUMXI+eJFgfVCqNvokeYwWlhXZoCCW9YgFYDYzRQ1jn7nqrf0QVD5BCxIbgkOhPu0OKJPWk0j
sO4WrDNXspZUCkDizLSf3Ogapo8uBnVBp+anIWSiwYGgbuZ/xpHBPCwL/+waBB5Naybvx8i8Djcl
cS4uVfQ9WD9ZKEGAwryd2UHaq4mrPQ+fq/53nZ3IW1jUdBZFBcTHv3YqxqtNvWW9pfVLIDtIYnfI
Rw82esuecc+QIdCNYMnO3hKoMhGWxBcTsOPXDyCY144bPdnMQ0oan9Lw1n74K8+Oo6/2Afj2Mb2m
3U+nhzXj7KcsPo28tiMiN++WLskVsB98nu+vKvSW2DLWBr0j5QPfH7+jctjk8nOu2eRREcqzyACY
Tb+YDoQBE1SEdyOEgpxxTyfI1kC8yRZRCHfpBj6303ltq+e0hseJvS7zk60V1OT9oLTz7sESA/A2
N00ukYZZ28yBeB5Tohc28tEDgH3S5pDhyiWQaDRdUPXcn5GkKvNNDN4hZU8s5B7t1bKA2xl4v+Ma
WW/x3JZvtvczBF8FvGqMshBiFUjcu3b6rEbvuecaCVtxEMeByLJgtnZovhFoXxXw+Agh1w3jrJ3b
DWdranr3uBxjOP4gy6Phu3N+t+oyN81CBp8jZbPjPlbydxm8ebfoCJcInix7wD0DXiy8yHRau6R2
GSDRDLwezJsPUfyivS8CzlZNJ5cmRgig0Dw9e0k5zBfNXT+oNgbPLK0CdtfgVI+/w5isVeMaZdMC
DAcS42+7+Aj0Y9Y/JGS+ZtSg1Dg7uHPcKvEzmvMmr79He6cjc1uRk25iZKreK5oHenxu23nbkoTg
NDM4OWcbWMce3Ebhbjpb7AqfrUr9Eu6HHZ9m5tsN6YKjH64F7XuqopTf6EaNvJO5JHh93s7i3VW/
vJqLFenyAXuIZGeKI2dddI/p/GI0IB86TbJMTb06wvxY6M4n7kdn5sanqg4JkhNU8XXmPESg3Kt5
Yp5+nxl6YzvGZmQyP4fXtLmlsotzRcK8ZlA0WAC7pfFs4auNieiRxbvb/NRp9ZCS/zpb2VIb9X6m
csn8vePxXG1odOEpqh8b65Qh+E3brxILSGYPO60f/ZTItvlvnL/XMUX4763y+Ul18tL7uIt6qioU
Fbr3N0VGtIRTrOmVrX3uk46rD3n6ZmTzXZhzygwvjKX8mJwyZCjEREXld15Zr1EB3oSOJk8f5A9h
bf6SIdqdBjMOr2GMnkbmOhnx1NPVAidHkUGzwueuqBiVEpbGUxtot+pjGPd3YfzUIXklg84/Kf+X
Il9ptOdNF9CoKM9+9mAQaamKeR/p+7qBAhhwk3I3CIlf/FGf+7bYFMo8V+QbmyNZSY77PGgiJhpn
gRJ9Ibj5OWh8ZU2E1cT3TmfDywPChsNt5gFCn9oHqv1NKNnm4/aYTsBuS0JW4+pjVHQ0GJ2vehG/
EDj/y6xeJySMt3K4/TXmhyH/dm+zQo/EPxmzJFEQmck+LobPzG8PxTBvTZuNcXbupqDd02o8FoPi
FhAH267ONpM/7AyukzmYo4F4ODwiqyru6fGQStyX7qEiq9cHwlo3G5V4JwuGm4wL3CQEQw0Ghbd3
zYtmmzp655nmwSoC0N/TfkDyk/rTxmgY3Jont+n519HShcZLRvFCld3yFrZc2/Mq5bRs6q8qCfh2
CUqx7jzuN7041zPfUcKLjSFRDAyl2VDLvDlUDa1HKEy+Oe9UBH9HEdNoIoSJiLGiGk78Y5o9UnXS
6z6ktgtnhVMsnj1Oz5pjyexCPH6QUgpOosEnznPu3tvy2zG4r/gFPBrVioSUIK72kltMWIMCK+wd
GJZFLAk1/tW024aO66zz9dQDgJ8wSeUjO9C81QisEo4WmzNdZmqJYX1bKWPrw7esiwLmloCwySXN
6dck920NAhcnk0O56zC8TOdMweKDGhv5/Jx09q3drzoLNp47ADy8KZICC2WaeRLTSLTEj418bZnY
tCGwapCbVBE+MZOT8WHR9M0yTpEe60EbfnckVqeDeOw9RuIzX8MNMaxfndS78RD1taOCY0dsPrOm
bBeEY/3MXDl9vqCgdp/7jIuljAkrbEr20sn1mPdGV2P+rt0XjWsoby+xqQHeumsZ/Mpq8UxbkBq9
1/aShjfVxhB8oiFRFy/HC+lW7rhLpvm3NpwrETiLtnlnoLuuHXJ2R5qjMkUuQdb2lIpT1vjblOQx
grAXfpNsMDTvgREix1u0pX8fsUSDkT+jbsHsN0NwJGzrivtn6zdI8mM3WQK/555fbIBqLedMvqvc
+hrAJXe3Zgl84BXVzH0WKQxjidgZ5oel3HuDUmKc432DRFvULbJnyfOP5vukI3MoBPca4rqAQtCb
5YE/9I2Y6XdSUNZxHKxmNHMLOO4rIESv5oDpPkTh56PhrOJdg849bokNiKFEhjVYpxqe5DzcqRLF
mp6/Yyon1fqHvCm+dYFrLflw3JFF5OyqkIFRHZztEaDyGByG4b7JrQdmybvKOo1seKQwgX2PeLvz
yd44XgbIyTm34ZfXQTyqvjtbnrAMLGVBvCPB3lp5OzF8MgRZ55SLMxs3h8pDRCntGheb/Oyi5YTG
URXF874Ku++MGIuJWxJD9yOexbuYpneKYnKSw9KbcJSNBYnUVlse8qKjDOk7gkML9ADp4OxTMhao
WzYBb+cYNz3IKlIoUnVIXOCn5J5uate8mCGejgiN+amIrGjresNJzmT7AYGUql/n5FISk0zSaOi8
Rej42pZp2mJ0Y3o+edSysLP8SzjSfLIyH4WiZR+qpGfIhuWkWpUtUvx8qC+WmxTf5ojdNY78T5m1
+jxPRfrdIU3cac9ulwj0QeW4/XehoObVTF0ap93TyrOWJe663x3YcjWao+YQd6yNKnveucyyT4XF
1iCsqdvKMDZQ+rc4D/PoGcPO8DOquMD2kaniNJupdba1Lp7yMPDvYZ5473k+FISRaAVt3Xc/q0DS
OibBu8wuAZBZHK+8Mn5AKcuoY29AfQYH1hd0lNRts3SRDkK2JDOvbK8ITNW5dOME3pxHPKFf3csY
RUCoAXSR1vl0gyrc3h0GHDPZNWHwjiWPnFhbJNY2rPWtPep+9gx76WBgE/boSRuMo9iciTWxJreg
94Pz0JJuALw2v05VTpwdolgzmQkmdnJMpVwhp4bgpViPB2UNlwQcMi19e53U5vxV+rfuVJgcUMC+
OMwgFklYEpbXkn8Y6MF6HkLKFBl1TK6qnmw/zbk7VCnzpuZayvT/s3ceWXojZ5RdEXgQASAADPv3
Pr2d4CQzk/DeY0+9it5YX7BUKpKSWEdzDaSBqMzfJBD4zHv31acwIfSqjUJmHPlwQh55ZwzVa5ZO
H/XUqeUUNbvY9s9+lDOPVqscoNSNOc0yhyHol+5E0J0VANIpVLQnooZoBkacz10RWfO2mWTeGCZ1
J5RcdyqiA3QLReIqT6KYxmMjEhOuNigHg2PNUxOE3Eod+6Gi9xsVsXlkMSGEOMc8Rqveu2N0+tTn
6pKO+Dcjc19FctYvOdjReLCWtc1xZTj7xPUe+hh8rdckhB+5PEitaCIj19wVVvKhDMX10ZXkjOTB
w+ijI5PKf1BjJxaVYTy5RYdcSMOnSLuVT2iGpC6uzdG9qRBkL/zAOfRxfyobj7SLSmGCCLnJBb4c
N3WYw1Uuex2ln23c1eS9xDzBLPezz3LtTKjEycposJL0Pk+wcQxd9ZQE0jmxxj9rPklG85Sr84he
i2xu/yF1v3XEMS/tMiO22h5grxNaasLF2xTSyQ6y+P64D3ymSCBk00QPd+iWkkPQ+z0Bp4a4LYbi
EXWfs7Lr+LqZ5ju9Q1AU2Vp7nXg0Vso0iRiX6iYqSN7qYovRs/1UZc657QgQgm2ImtcIvyWV326c
FPRyyOSqzNpq3Rny0rScD37d3PUpwawIDg6C/eeqAKu1GgwmPnXtPuDN8xZeQLqVq++LivJa5A+O
B4Bauvd2DpHZGOlqY6GupooWxIusnbRZ6MZx+Vb14d41xZMfTBuPLQDbRPswpUQTNfXXIJqb8Ex9
cJzwlxyZ97le8dTa8R3O4WLrJjFZ0gGIbuGnO/xfNxEcPTDfIX7ZWjz6XNLhLIVvkdi7ub2uUuLw
KiuYEeQQzEO9e2orCA+c2m1dlduo9hhnj7XEB9jjd7KzYl0JHDiaJlmwDMQRWIJhZBCrHokdUyKc
3zdpzRg0i2AWtzbdyBCS70iySrtUeRJjvcc9EOE07j3z0ay1u6Bm4VtLG+soU71lESJCYGPD8y+j
0DMQW2TJtStYTclufIx1kovKNCA7N2ShRTxTgIxZ6CzOy11RGNtSqQjFovFt9n/0U3aIxuhiu/4F
qxPBBul40ZLiKmg5H4eBmBnLvXijb7+jVDgoCFnLiGGJyumbgyG9jDjzh3g4RhU/rBXZ17+RPPys
O/2HrgALiZK2a3Plz5KIH+0bVdWlQYt2yxrG56mMKfcycsjJfJCqeSdHe1VaDnFI+UtVR1ecGVsB
oElWzV7j37QWgcHQk5wZyL/Tu8x6ln9RPPzwzmYUzg/vrJdx2A5S01cGkiBowUzffDxePmNsc4Jp
oFuqJCGtIsG8edEbnOApoVvLsDa4/Xz8y+QHZD4+5diTB2TxZ6vr7rIB9/vvv8KfkTx/fIOCoBPb
UaYupPMLMMl3EYwiNtJXeS0fqtzfAmJl4hgkD/RU29+/1ncZ8K9figSGgkXTMBAlzyKhH74UUdea
EVmw2zj0jaW3ra4xibwylniHh4/PZEHD9BWuwe9f9t99xB9f9RddjCM8h5OJEOOsrMmRF1vAEqgh
J4lqlciu37/YzyKcP75PpEDwUfiPFNYvoiOFzy0c548YJk8hmWD+2Qtffv8S8/v99VsESydspWzb
gVbz87fIJLvKW5uXkDqGdZIQx+bv8Em/ACG/fwzT0jFZGVI3rH+h0mFPsjuPkdcqVZpYlQmljGGV
aDqSW92a6evxXe0KmIfy2LYtE+0iIna5U5fff1Sgl//6YS1TxwTmGOYsIvrl+0xC4kAmMS+u6FAn
QbmaR/WSHpcIhmEV5BmEM5SZC0PehZk8tC3L7nRkD3lVhPtsfMxaYj+fi0K/pA7G3izYR8B3SGUL
nhvqLEK211lNoIYsMRfpGHGnb+ZAGVW8DcldC7U+EIhPxBvTJsKWmRey0xERsaDpu6INKTP3nLv+
NjTuM4ikPvcnRXC+NO10pwUEAPjdxozKtUNaQ1glqE/AHE/1rcrVmufilof+EYjAkZyK90Cni6kC
DunCezPChsSOpFsXldRQQARXRj59EFNFHKAuiesyG4vvhBkl8lv6dUzVc8x6lDhH2uN4FQTfUgOg
0BQRhhJuG9O7shEtUQYfRJrvdZ7f2MS3ZnITUWlmGm0KsH50s/wVUzIR9U3p1usmeGoRIFiC9pVl
WUXuTJcCLGDhnXUbCxlXTdiGV+ZXtgvyI49PVZKuwkJbF2B7PJ9wwyg5dToJyAOCNyIyjnmXLCWD
SlnFPHome814Y6lV6Qpez66K7W04kVYB04kmuFiC9HvsDXGtPO/Vr96z4cHwIQoXi2r0b9rYuGKU
8KTxf+CDoQEGpGAnKe1c+9KSsp2046JWfsBTQLv9myvz35wqP12Y8ue7cLD72qsKS6xsa7g4eH5J
uYheGauyahie3Qn6iTNH2TJngHHhrEY9LhgzYZjumNCTpUOuDjlCGXha7Mi/f3PGfJD+ckRYJkg6
TiBwmXgpf35zjWZ2veOiS4zbsb+uGnwUlu6/I0gmBZgsdd919yLt111Ufg21nj1RIOhYasG6uuiP
ocNYy7EeStPZRfXwLYyBwwRsnIzETLfoiz/HoH9x0mAnR2KkeFKQmSZOpZ9+tVk9rBA5A9tOriPD
ObhFf2m6vwO7/rsD6sdPKH/hk0eOLOypdgSYXIaX50lfYKBb5HuxnD6z7XT9+y/0+6/7ly90Zobh
w5EzGeznL9TIwUbECNlXNcmWK+Vrn1GqqlVHNw3bc2MlzmlMjDPZfpeW/Nwe9V7olDeFSS6N2d/G
9rAyDHThEtETMR/VlZZ2KaN05+H3b9SaP/e/vNEZJWqgOLZQ9v78Rs1J9lBqEoFQonlpgWEMOrnW
cJa5Zdzaw28fE1Jne6BGsxsq9GlRjCUsKJootw/oIe0XMh2XrbK/4Wh8USSfAOt7jBRe6iQ5QmrJ
0PJHm9IKz9WUfYOqCGHAjcZD3KqLJctNOXoMRQK2Pfqm9htkSdwbym22Yd/eeZjkgr57ckd3V7s4
9PqwJr08YIRk1TcDTebC96R9ruIk2OsSA6CW6p84OFwCgkrr7/S78036y7flmjrPatc1bZrLX+4T
GSuRZwXC53ptHuSjfWyO7Xt8L9bJOjmnT9//Nv/zuuF1s7Fd8Gj+z1J5YujTr3n1Nv1kGf/nD/4l
lTcoNpj+KUXGwU+OcfeLtNBbk1ehzwXpbCb/0+uGVp5ia5bD2waafXzjf2nl5Rc85PyvDv5SoMEG
Ovr/guiHuv6nS0Yh+Tal5dq6jgZP8Tt/ucGQhZgDHQdtbcReZnIwKJmlUd74ZjU96YC7nzrfehFs
vMm9IpqtUs6nVnr3IywuEpgYShYJmFDbIBd8Su1i188m1W6YJnK6CoAukjhCmRTr3GwV2mCWxX6H
giRRzFYQhgARimfDq/JGh/aadBCENR55poIkVhWsZByNEJaa+2xIv+kxHTd+UGdj+yQBZGZCSC99
H+lyH37g76bcfchnc20BUvCQJOyBo3EWooRy2Gg5C8vEQphVO3fgvqxF2EJFMz0ZrSOTI98ztjYj
FFJXRbavHI0Qy8g7SIU8Q5KeTsntXtrSjzbVbPNtk4ndhgRJm1N5LvJgGheddIGguVa1zGZjcMeD
BO7WB/SohI+OWjNT3q7Cjo6jmIdmFMqvVdy/h6ZxagP5UKT9p+eXJ9SdBBYNz/lgcqJ4uyQr39so
QlQzadCSrAZ0nKbnJGxFZK4p/SVr2muHKpoQtR6wSs94QStUiZmLbGpnjFYsh+It/CMQuElerjMv
fMB1/spsNbw0ZD4RDGh/DYYiXbMWRd2RIdE1Yui3avTEQuRTgCwDQ52c9GlpiOGjkBiqk9lGjS7C
RQrn5SsNtgCiSrSuuA4R4U/hLs/HDaM4NnNWc1YGOd5hpbfsNeH99gPlKDSPkqICcQpoGkQrrVWw
llYPvTd45zHPxpVfalDIY/21GJBmmNlczeYNjXnSYOnrsxuzc7B4ROZrmBMmnNa6WjqhYlcWkKiO
g4OdsnGTp1ibFSAYYGJGuGTOWi8B6AItaMKRBZmFWKp1gj2MfKK0I1+yGKjaXYijmKgDRmbMqLj0
UqQ5JUjIRZUBQq9aZIZN2b/VOfQRLdXkonNLsama/K4z0wsbQ/h8gZYs+xZVdo5lKZytS7OHKRqb
vW/VO6/UraUY7X1psvrmDT6q2fg0tc2H7qiXLhwuntM1aOBxSHWzV4qraSIBHf9UPjupMmF/DbFW
1SxZCFHzbig4vUUztvVVPzux7Mwx1w3mLOEzvkT9CbhpHEj7cTUi0zppEqaNr0sHWLNyNAojXYME
k8Z2ueTTjoty9oSV2DR24+wTG20Pa/fsHTN81zqZs59srCfuDG8EyeOTYljXLDWK2X1mzz406gQE
WCH1U+4yO410SJIgoE+pnYI4FLJeO16XUNMyUcwCDglz1rUWAcHwzijYDJt29trmWrONqrA5WyJ7
V4Uw16pRUFFkzwmSZTzzEBQsQNvCkdopjbRLjK2nKHIvRYpKPEbfgJK3Dc9k9dpAKKwQYJfqmLNr
Z8pOWieDwPZkcgFpNpo4NAqVQzzmz71bHUaUcbqPKM4jcmMdlxpR3RqvYcMMTPsCGJw9fY1zJqZ6
kJxEAiFa0cg60n9JGiTEqENWIVYPDj93hP3GiF2dXOKwPRdFN466B6t0tzCtEPa4JTIrlW2LvOh3
dg+LbpQh65zIPTLFbzchnEwVI+HvYu+NvHRMBdWcb4kKahyojZKmR3w/Uo6ptCm3vomBFZnYsRga
osKkduNGzp1R0yVVFaCZerLRIGjQroklZuscVrdRi0CtMONjljTNFlF0tmRj4C97x2JcClmz7rRy
O3r2pxFM7GScBPq6hwViujH1AXZr4GNVHs077oNHitpVP0tDWyZuQNuG7uzZ8tpLfJSZnTkuY+HD
7AmDpSf9dl32zl5YcXPdVLa7xTNgnybyUGiC2x2AzJ0KiZc0As858ecn2M6sGFT6KPQ9g4RBAFD1
DVYSc+nW5r4ZiT6Jsza7ixPrFEQusUw2aw2drOm4wdUy+DK/wpEJgUfYJcpCdF+jWcZXfmMa/NG6
b3Qk+t4UDLimJuve0VVKTDOEwaNhesAfvI0MxqW1731MbfutHNLrrnZPXWHvAqWOU1Htc5R0buK8
6IFBn89GUEzVHhs7QSp4Lxap330drTpYitouUcYFsMo0qz6Qr7oKNf8pdScybWMdG4ddvDqR7Ilb
jVhK+8F5yqrnhJndQrXCucYEMIEJNAGKjgUr3ob1oZ+fSmlgdTCLFCpsq29o7EjEaHJxlckQCExh
u8uuA5QagBk/YWSYNhD8UcjC9VyNCecE1nC8pyZqDTtGs2Y09NU9a/BN2gZvzFtZKWAGcZhSsDUJ
xU6UPbqCejz4qkD0wr6rIkstTMmaLcR5tJG+4cxKb9Kp79iVyBeJ9WSpDTwPfdOrrhs0f+zoO20n
8rSHBmx8gymWvJCAlDPPKGFxlQ5PBfwQvYFGISX+DqvFSwHoZzHG4oYiHTTYlJjr/9W7/7SGUkky
d/vP9e7/mdq38RdX6B8/81epS81MthYwAFpEay6f/8Q6uF/w8UEW578FJeaPcCTKWapgepZ5tmg6
6GT/KnWNL0o6Mw+CvAobM6nh/Delrpp/1Q/dEaUuiWwMapk0Cnyogl/307i2ZuctwRs7q0h+S3to
vB7RWljiE1SxromDsGGBVbuJYiOsWMm4lBp0WkjEbBfvGUGQdmtvCx+ZU9E+RJP+1ND2LoDDpBsh
jego7MLdlAYJl3FCfDw6WzT2dvPkN/qwxAsQLIQWZ3d5Xj4FJWd2pCHZtTxUEppRqbtQM50zWD8y
D2rivrhBH/J2BBqIuGtvuzEzpSnx0dVk4w2yzxuEzUhjSqRKbSVwhwUz+U6r0Y5b9bbUklMVW9k2
DtWwrSQrtsoxPLpVwZpGYk9rvkfVDy8KsNnWsUETkX7wMk3zQ6jtKGvhya5djDSrNvbco1NPahvn
iB8qPSCDqqQoUuOsGLGmF6dFx1KmxCb5jpedEJKwXVUDlrSysJZZ6wgENVZI4i66aQcDk8psDuk5
hj5mpT+6bDGxzSyarroWioxPWbTQZxkYb1QyBisEIhddS+8crynWBgGzp16beXYgG9duXwN2TAhw
ck3fAlmtPuPEMQ5d5T0FFqtMVcK5SdrqppmLu0xVX/UuGZdOJIxl0lfvJm953XXpx9C7KGzyDC+E
Mq+hNR04zVFWoGzOEOovY9X0V5RC2rqv6w5JK7TyOqwmaIBGeKyS5DOKCBf2o7LdFQPwG9ciQ66u
0YmajWafR2e6gXGYb0rfFCfTYwHbVz7bPWR2bThBrUn8R+nzeAJcOSzxTCZscfXkUAFXfyDym3Au
v66XiRjLZ/ac4K2r5q4UMXQQ034OEVC+573ps2TuEZGaXb6qnTFmxe1rIGUxb+idl69zmZHgnHDB
lj2SRXvGAomao75g/roRZRkQ4lyOqyIaUTBrEnG/Gd/o1dBeGivcIT062S6oYUviTYXwxfgdWImb
nhJdFh/lfA67HMhDHPtPBUaIdeqZZE3Fyt12gTlsYg9hTqtiIoJr9CRF7O2Yn+TvLNnD66Yvu7sy
r9VVUrrBKnDkt9YCUx16eQ+gK/MZvVr+Ko6b7NlQsUkgK94MLasYEU3RsyzSAr9gfBVUJb7Ois8J
jsPNe52nE2HccFZ2pOEQ6zGrpkDc3pBXEy+ZcXuQMLvxCQMf4g6YZvHA8yYv7I6Cf8D816j5SUkW
CSu3YmHaJXBeS1wZQfYsg/DOGbMH4lrvggGiQpqzPjZBZJN7LIrtDHFc1jL4bLvA2BiYME/M5o4R
gi4yVxDXx3CpnGgWco9qkTb6q8spQxeWkmmd9u0SCyuQF1wwF2NGJTqVHKneUAxVoJ6aJiSdvDJv
2LiyKAztYe15tESpF/cof8t1CRX9XmQEHEUyJb3Ytk6i0LUbyNjlofJ97wDlmqFo+mS1SbrMwEot
XL9MMSTo8QOKJSxqCpSkSMlVYRlkrzXp79MEB5JGVbJKUXcsHBSPS1vgB8L7txD6dFF1kqyMTA+X
Jjcs6jn043AD4jWSY2MTD9mHqIMrUxju1q7wxrK8aU7tCJ1yMPiQaUPqfFC/1xW4xSA3cPfkJH8L
U3+SeU6vYgvn2HrqPgl166olu76JYsiwrv7cfJ8DiqxcTo7D+jccTbaoOOYSVz1DYD/QeiLp97uD
E8TPjRvJg21ktHzV9EBp+zp04rOU4Te9J9bYj232/khnKQiJ2owS0a7zJnWP3QTZhWzGRRdE/qUd
/GtWD6dalO5OTOJ2SnK0S7p2kfmYP8KyTbbYjoyTH4kdOnYiA8qpWGJFRto40iP0OcRpY7ZoQOzt
lm2SY1umvkcF2kJRW7g2pVpcdJsmksUhJ7iH5N3sODhgS+Dc3EH+H8hKVC9F3CyrbDj1HhmNMah2
D3WqSOYXmz2GYY9uVZgmO+YQhDhg9Miqnvtc22o9wNTKL6/zCuMyyLqdEeN0jgx6hW7szkzaq2Vv
o262gyuKPnWWpZBbGtyVMdF8VbJ9UwP3thkck4rhEX9TXbvyqvG1H8HruNn0aE7ozA3M6AjwUeMP
aWcf2eqT8xyNx6bD2V90/nPbtGJZMKUmw48tV6BB3HEwEVgpYXw2GXlcfZJUoMKyl0C/PhoPNWTF
3ouRhb4vO8s6mImHFDRsDoWHkyIGrAlfPuITY2/ND1mmv/eohfVyLLaBC84tmyrYak3l7sLEPLAM
JKpB12PiB9n9NzGmPH00BgQOiBLSKSjXE/Dzc8M2dLAFC7q0RuUgphPO/n7XEljPePoRjj2HSarw
1Q/GW8WsHftIgblknCqYNjhTlCnQKE1jszZn4a8tfPnqd5O7nibzxstRQAXEUyKEq5t1CWpQ6/yb
qE9BpFjJ2XPLCoVEVG+NwBh3Ze+Oa2n3uAbp7e8HoT0y3LsP9eTOC1C5wvDVlp2CP7SYGvfKtK2P
LtZ2vgL2hBLiLZaCmD4H71LUaqjZoA475V1hts+1KsDStLfhoJ28PHzGHPGU6c7HZLjawm8EWgst
1leuNvLZIv3diLlgU728BRIBcc3FaKGNxkeCbG8DIL1d+3y8ZZZnwwb1AGYXwSN/mvn8iNv6dcDJ
BOu/vGPowYUPzt8C6w+jTl+0gP67mfgPOYiRzZwCkA7ImgrPLHcDhn4uPhjIyunRkc4JAtmcJTAH
RoWECzDZRMtM3EDt9JikYpRosUVgK1pngiSrx7YO3gQqPkTYxfvkg7BqCDKwVXeYbHgI7Wx0Tgz3
Br/0Wz/fioQgTHMagukbO5t4hKYdb/05L0HOyQlM6x5ZauC3Sbd+EyKoizcM4h5TIhfMyvE2MSEM
MAOfzQhQkDEN9+TOERuYX5U65Jy2sT7jYkB7WwBzMAjJpO1rnlu9fQl0q1k3cwYEpdUbowVgW8RD
oMO7pZGUhDliUvdGWi/o4zsLbNTGKcyXes6ZiAmcYPdL9OacQRHUxdd6TqXAycC5/T2pImAuMg4I
Qemic1otAi3s5q7S809vyqIVAMj9hPvT8vX12Jgo8+dUjGTOxwDj/GRGxbM+J2f8r/36o/36AzQ7
tyv/uf9avlXvQfhjA/bXT/3ZgdlfaHAs3QKfR1DF9wDsPzsw5wv5giwVnHkt9Mc//WPZIL4Il76M
hZEUMFdQVP+zAdO/GJZSiBTm9TTLV1q6/2LV8J3w80P/hepC4JUGXGOyvSDgSPyifag5elzi+VgW
eCRYsJycx5F+ACGr/SpSAeBR+RitRBecAISC858foVnlvOah9570JCMOPer1ISsvtm5dPJ/UgDKW
55HTqIrcdN+DSdlGZvYcAwhY2WatbwkimTBWIy7N/Lliq0yMvZodo5vNA3bzrntM2yHcURce/Lyu
H8MC57sZWfJxtBxmSzyamSnnEO2KNjxoFbPfgCJ2PVRucF3WslwgCJdbq4Z/bg39ixYl4aYiYwKB
Z2avG0cdAfHh7/fYKTT1B0/Ldi0xEa7hcDNWZo+yoFCP181kDdgnioNN5DbOBPmOyi5ftiEQU8b3
DiaadM7qtfagSeac4ukFucG2GHmmwVrECm9HV1XgPbsgCGMnHVfKTa8r1e2ppEjo0NKj5kAV91/o
Tsy419dOYDznUY4dqEPq2o9Md5Ca2WsHgSMTvze77XehlWcE+jwHOU8Ei4PAxHXjR4oIIscHrlTj
/3baY27MB1joaZzGw0stWugA/KaiRmYPWpBjKrBuszTb1xOZL0P7gv3mYYCpIWy4J3jyNpreXTHy
XWslD/uirN4I6KCRxU/JVNnT+mNreQd67pNpatkynOSGBO5jFQN1m9SLlolrux73mlb0q4y1Lf2y
KC5Dh+EAGQ9KdI75XDdehRt/8ro0TJp3m9rBVyXqrRj9Q5s2FezihJiY4eyqfm3aRbTSCiEXuHsw
NAGjSBjt+7WOQN3YuUhSuZhnJk99gUsfvVuVkc5pPrTLbbYKaPFWfcKMLZwyhnoVPzyxQVuORU6y
4BBgcpe6fp0MIMn1NPwHfTBJzHPt9sfMqL21Zo1PYP2Z37WxvcxnS76cAthSXnc0gl4u0JocA0Vu
hjWWEcY6gAq5QuACYug6zMxn/B3+jphj4M2mn65Im7FXkLHoIHkXENc7jM5l+zyUES7Gsa0gICZk
XKRy41XGHVPKdWnra9lj3+yyC2YaHJ8+tfnYuzOZeAC1jCQlrZg15+zkMqbSptFiFXba+woQgmPZ
h3rEv5XGzq4hV4Ew9WFuB9ud58Wvhpvt/Q5pDkrmyEFirEdJhnhee+ZcujFLeRJdvFcCJZ0q5X0h
3FndTXsjL27j4YICB0vmCaKAsHpJg6HaZJNOvxazSQr1+KBL/9A0IHKZmqAhABmf7PPCOkVdc7Sx
nAQkJM8X/9kOqJ/lcDUL6ChMQxpr2iW86tVbFA3jUg8yfq2PpNvLkGu5TX8o4d9WqtkobfzUNHVw
6wHdUee7q9hKByTw7q71qPccoA1gAC/c2fs6Y5TaWBAYrfjGjY1bt7MwpKbXvpOfQmd8w0wE1sDo
dm5DK2OXIDcjLIJJXGxbPaKklKTGJ0oQvWEfimKO725fRFQZmLORqJTladTlm9sYt1UEd6Guzmnc
dNi5YOZjYZLkgdlndtHQGUV/HUf6UaLNDFMONRhDBNAIK0JEM6ilj1F76RT9R5BDwi7YIqxic6AD
LvSDlxQV6W3lRRrunaq1Qz1kYBU5iDvxUAwGDhdmPMshNs+4f2HzS+O+hPNN+1Wy5wm1Y5CY77Fj
Mr3WbyAk7FXONSyQpzHzrqJ9nXgzolE8DfhtvLg6+3r+ivDpMqkOxhN6t2LQX4l8SWnGW1Jsc9A6
ASfLBFaFZezFC0A/WgBXumY0l/Tg63rKPzyQLPXMZiloXQZgLYClt+VMb1EyelWTy7eh6cBlZsIL
YT+MG/pPFiGE/swcmM6fNo4xbeKZEFOAimGdeu3Wxd5XtrWLgclECNPpc33w5x0BHexhl4op2CIF
QhMKRttd9LV1ndtuhtQkwRO4q7MLvAa1NYsYcDasLmBizoQb261vghruRznCfmX6dMnA4aC+egr7
dGeByWlG/gKNYyJMSS/tTNJpDOcpmdk6zUzZicZq1eBzZ+x41QK+XAwziicoC3+VDvKIwEDDwpQ7
6Li7+ixmms/IBoHxo88OiS4Nr98hYdvTRjOxgcD7UD02bDaSML8ukv5E1Ni8exqOqi8+Qm4Bj22Y
z/bN65NiOWLzTaqw246sbdcBBlCGMNdR3vcAOWSGlUpcTR13im6LjQBnwaTiqBNRRLCScdeN7Lg9
zTubTeSSaV5sQitkESpZ/9kH3S+OjV232NGD3aCqAwnrNugtbdvUJp7cMqIHNbwbe2Tk0BY13cIY
bfOChDbNTDbCRkQo2VFR++yTScELGcDZqCp8KD1BAcLoi+J/2XF/uH3urO2BjUrZyVezcwtUB2LO
U2dJq5JuG+vjCnfhZ5ZIrBnGU9MEH0GSHupeu6mSkD21ryE+y9EK0JiVGrr8EJRR3Pj5JunY+TgK
oGkee9h7ZJTgXBp2tai/4c6xuNvgnFaWtovFQMRTwvZqks5NmIUsIDvtMplo3VKrpW+KodHZqBJX
DdM+Gl+gDnEs7ZWtoN4YkXepdTBGnebeQsp+tKvsowlodJIQyZ4FH5Y0dvrCrKn27DlxIsM0HcJj
VHi3AeYYU3MQMMZ5uMLmSsPMwwD3+06mFoQiRqdb5NbjKp79alUzeKsmtOVjZeLGj2256YERBc2k
FlDDL6MBzt2jkV/UoZxu/YKdJffdO0/IZ8/KXlLT+iri4R4kTbm3kijbEcSGuDQ6BoF/U4sAlAim
1Za/i5lWxqVWCcFsLqk1aauJRWB2p2Rg0fq/7uOn7uO3ZO+79r1Nv/6//5vX/6YD4Sf/7ECsL4jg
Z604KaEGskJamj87EPuLC/fT0Nm/mLZU8z/9owPRvyiFThD2J5shXZLKxm/8k+zNP1pKIE+CtIk+
HIjyf0UGFcYvikLF/4B+ivbIkYbDe3V/Ebo6aUWk1ciYbQoSDyK2ilZ8kDc1WvCHRU2yQcbMvmrv
26l+riZtLW+Hqj2ANn3pNO1m0PGwGM2K8Ha01NNKkfVpVH6ydPr81sv6b4U9XhkEyoxRfDT8cNu3
8W06sM6pzccIgx0Af/mimyVnof2aT+SP+t2JJ9KmyM2zRIS9yIZ6UwOoq5z0GJYtkV/FiwPZa5c1
6TE12/txrFex8C5xFW6IBr6uw/o6dMf7wEn3unAPNjScVK9uhcaEsuElYydZA+VZTdK/Mwu8K5ZR
bIfU3yZNuWsg8kg7fU6D4pJYDQGoYs0y7jw11rZIu+MURkjzUyI0NPsWbdPewFyGIws0kHsfqukc
5PbFyKsnpBTXURN8Zro8pWV+KZVzF8QSoXmzyaHrLQT5Vsz3tHUYhy8oyrYS02nC5GpKeOg4Mjs4
YXCEVbhuaxO1A8/3yGZNkNnFDTnfG9ed3kpLnnIrfQy8dGsIQcmWXFD3r6oo2JhV9LWzjYeiRN6U
gC9ooWzUyT5S6QPnqbMG9siUs99g4ZXLMSKEgnYB68Exqhmdd6Ql5JO3M2dQcw8uXc+IK439feuX
zIFTvnDdONZVcmyhC8STB2IZ0mUXf4JK/CwrTrvC2+Bgfctr85nt6coYxLWLDb5LknutkDsDy60z
h0b5xdZzTOSrqbZBow9jyOEIZkO5K01tbRf+nZiaizvYKwNcpo6CiLBdROLrhp4XWgWd8PQYNcaa
dnXnt/3GqdVjZ/WfUpioHBKc/6QbrJokv58U1ivL4EJzIlOtTD96wxP+EbQI16Fi7oa4Wvs5cYNW
ccksUijp4BZZq7FFst3XlrH4JPKLmrqjEwx7x9PqRZSyjlfGxZCojdgxrlqrq5Zh7HnMhbiKtKir
V/iVU3ZzzO1zMmKWPrFxlBS0QpGG7sEPk9vQdp7HNr4U/nA9+vQuadG326E2P1pZi01oavXGc6tP
OHW0k52l0QXQwrIdNddSJbel2bI+EM5iyOjHRudlEuFTgXM3HvKtHfQb+zs3njF6RMZ8TgMmbAB1
9njj+gY1pG5s9Gn8/+ydSZPjyJlE/8vc0YY1AMwxCe5MMhfmeoFlVlUG9h0IAL9+HrpNo66S1G1z
Hx0kM0mdJEEwEPG5+/M9EeIzlFtmb9C8NM3fNTkFhZEXbhNcGm2tzpVvP9RRRrWIcRVLeaHdviIK
ctaFWuLw4Fd+9YNxNabeKT/gYlhnrfdKvekuMYZt0lUEOM134bU7yJRba063NMmsST8d53F6KPr0
WoQqgPskbsoKeMY8PEEa2zsTwYBResfQwWzSarsw8Q4O/b6I8AXCrx2wGu+N0T1wNzw2pTesIsfc
CavdDwwsajEf8qzfZH6K98J58Yd+CIgWUpnrnzVlHKqk3fU6hDWnC3Ifg3AagfmVSDzFUYTp2ZM2
RyjgfYO8K/WKQwfZZZTTx9mw3p3MOBZ+fd/H7eKB03eFmd4argn9wV1HOVuSEPwcbYafg8xPWm31
aB14d3qaVAadP0wXrNXzvQlynMMoH0LwilQsTpwQBjCbLeNRu++fK4QJ+KKvTdU57K3V+6zSq++n
ez/mm4Lx6UTOfmz9XT6nz2YD5lSbNpWhPiGXPrUmZNp4bJbuS/VOHy6YztqINvSKmEcNuz0BaPuY
UVzKP073Qeq/FczD9hVG33XU9PPVWy71JEbvvoidae3FZfvqunYGUIM2bkQBBN9HqyleG9STTU5Y
FgtBGDaszdqXm3IeKNKweqwTdTXJC04tGFdZad6KnQ1jZioaV+C9HiW6TWEzR4psn9kBTJGdnmXe
obRFtCKOe1d0xtdc0aZde8Y3Q4xPsY5W0vuDOqYqPDRTS5TWML8cZ+kA9ZMKKoEHWncsgIGMdGzm
lAdunQVE6hbZA+YJQQ0ZhUt+0z4OBQmYVon6ZOWGDuJUNWvGgYptoDcFbKdZRr2ZE0FZE3QZ4TRE
jjFs5sJ84kj3MJm2tUVf+1Ke7Pej0T76k7YTDl9EbsPN4LH1Ug56+8AUC5afG8cHSg77TVi/17kH
uyNa1nh6qTJgcYFE2DBKSijSIvE3rbl4GWzNPJembG8wr97pimtMjCfdARW8Zkn6OhvMQnIMtlAD
oATnzCJwBH9E7ZwfJsuVD7kWgvTLPDxmHeCbqu7XzmIItOIx2lVT114y0wjX5lg7gc/p7KbzMnNT
Rtm4zoyc+gGX3zUHfLB1DPMCpufjVkHVw7AsuCuniOlcSqND0kcLQ7CejiiU+0F0yUnk1VWZCnqI
weQu1O2bTKPLoBrdUyhbEUTxaOwG9uO7AWosBsP5y+NW2o4JMKBCpV+Gg/bUqCwNcr18iJgOfoUN
xoOiI4dlYRGmH1QBG5yNV48U/zaHg7dKgHwGFl/3rTFrbC2a3ruzl0+xQ3ONd10ubkVDKbWs3Z7M
qA3ktyJSWxZdFBixjDZZCXs0nKV7UT2jRKMvsqOZpfqma6UiWZvagSFDiHs1rT8bSBESB8PAL9lS
AG7b/s2vPblCi4awI9yULXnWBDOlzFBMJKjLNnql+xHkj+a/Z8XAMNIsQTv6kK17cMp61LmBgVFg
m4WJ3Kd46J+80n8tmLj4bpqv9bnU1lYR2rcMQN9ERw8ius2hbRgOeN4g9oVVFytKtQjDYwEM8orB
HEsCXEO2XdTJV2zYlHzxZyLgET2Ma1GOaDgNO6cB/q9NQxGTS8wvhFntMxofMMHQP7UJRV7aAPXJ
oGS0H3Iq12eAL6MTRoGOEn3i/w7KDj8MMyRrMXrj77WaGaZZWT1pYsR/2UJGM4sfXcqMxfLMB3wk
AMUMk3OTKXRKHfKveNBr+ARAWQpyfqVHVa3LnpYg32QiL2ZF0Hii3g4LynGew2NVtvLoTvC22CQd
iz5+YBPMvDsyyAzTBBH0SfkBHmMBfzUPnLmcIHE4U6Z2hTsZHg4OFXhveorbAwvXbujTLyfWH0th
v0szfy4n7MdW3c9rNDes03V3dr2Zy4HRIRY4lxPZ16woUYxkxmbHlyfKsu9yY6mbME1qpWrjZdLd
Teo6XGoPI2E0oO3lLgGatPo2YqZZGZ35oONWHzqXMyYjJBvMysRkIeVGZMit6pWM1Rtt8GpLj8id
KDE/albpBRo86xtHA/wUteVnM3Ep8SkwHZzzbC1haQdlqbRj4vsvWJMq+HQGkJ6YzUSo2MQ2Dnxe
PCBM67w3apBIhqvCWXWcdG5mvwN/mkddUIFs3pqttx1lfKLoO73LzenoJpDUGrc65z7vxu/N71pM
XY2hSr5T4MpS48JU5PHrIqO02prXRNxxVxkgpDrTQ3ReqOZqyq5G11sbNxthkDnRtu2NXRRm4aYT
5q4pEkKdET1gxpjjFXWCUrO/5bNxHdsOLg3O7HUGSzrM+T4moJXwXad1jPKObWtvLfpC05KZQkVn
hlxKYHWx069bBIlC5ftqUSicwjn6i2ZRJI0MZIqOIRA0xKJsKIzwW5HgOZgW3cPXxnEtW8aGjp3F
B4U4E5hTfx7iZX5pFBH3N4n6bOqYzQ4LMyLRSZaVFthmUej+sYujaJtrKr2TLYpMsjQPYmuwb0ya
VANryPRt2vdELxFzpG6aW9+N4bU79pehoaE06EeDY50VI7DMlGhCM+a6snW/5chFTGmKvVoUpL7M
o5MP7TOIer+kYKf51FwUJ981ge1VCsBdJi8gjvYU8U1kOPI3OnPuqVjzmRv1x6axmI7G98OkP8YJ
HtaBHShAYepXJiJyPqQoFn7EELuncKaSGrTRqjpONAdetMhx2MLp022BSfmo+Tq312QXCD3oOw3b
bnpTQNl4nf6V+w0kidgFzWrqYSD1PqcNuqL/WQksZnxfxzbU7lRffA01ua6aYqhQKC4mzd21a8Kp
ZOsD+QAgQ5Q+NUDzge9PW/pgAApW5YveGGkwCNpQ/TB8LniTQcTS3MiheqIW7w2xg5kQ9eI9fHli
PWMVmCL9MRE3oAT9q61bKtrs5FQzEr8CMFUrYVVHeCJEpTPnUatnZr02YbgwhC1DJeEJreN70XVf
jHuI7YY6hpIBkapzjSexjK/otGfSP98SIaUmeyqgjMfWTsxagm0RS4AVA6VNnfEHHULMRCmlWbd6
/V06bNJZkp+wpgMPyiw2bNzys6gZN8Z8bYRYuDeU/96VwwJlRzswBqUBAXT9QMstyq2yodgaVQ44
YqRFYozrbufBTL8b4tJY5b1ziXJiTVkPL1Zvepp2WFtX7th+WrX71obZC2eZz8oB5zn0ucEjL8L/
qdGDrRLtZJTDXZypDXQNsHp4MG70klOvMQ5PZkjXF2swXutoY0ATilzzA3fRDz+Jga60z6NNyR8c
DT2QJowimx07po58LQd59R2tXzlOmgVhrpMwrgqN1RNyS29w7yjZ00SuW4AZE+ugnJ69YY4ao3QD
LYXqgy69U6r4IOU/Q0HFNO+kFGjpMexYs53Os+k8tGCpkjQ7SrJFx1CHCdovmoYfE0EwPVIEg2jO
Y2Nup0QnR2uVD1qTfcfb3uxYNuxDYVo7ItPfpW19hSStIxVeq9Svg34M87PeqHanTNb8EhL7zrAS
LImtgL+mO4bY+TE09KHq0r01AVitu3hYa7ZtTTesGv629DR5YifiBBpdJP0M7W3i9p+zwl/NslGb
qME3EhouD61UgJ2oIxIk5AlSWVvQkvDSkmcm7TXPmrtLVKKC0XD8jV41THbhm68h9b/hLK9XDZEL
DjPjQSS+vGFAfsHfxi0stB+6zrYBfA1rVR75QWJZNJXxl5EbItJE40vNDuYWB1i61ibn1iY6RuFE
aF5rg9xa7mgf6Wje6TRLWDVI9rFqAsw3oD7bPR5H7nKJwSoJ+zW+i5TDgXUaEvfq5XoRzKMx3pQW
zyQlo8MMpRCtiDO3mq96KX80TXOrReHebblYVQrpKBrNa+lBCJ1i9dKhaawVe1x6Hdlz9ApPEzcb
AEHH30LTDWxckMxjoxc2bDsvRCp00Yz9eXqDfrcdDc4k/viNWOxzR8e6kQxrqzLuooGvx80OHT98
mhbo1Iiggi5ySvpjbuvXfAKzsOQEB5pYIIfi3+r3UOUPsVG4IJarZ03OWw0s0o0rdBrcYu/dzDTW
Fl4j9j8IDKx1t7vTgCxRC3KERfEciuygjfp9VhO8KFwOLtXQ0+69Rd0yxwrF8C2ZXhxgkG5Mct5f
6Lz8UClcHrkn8LtiuWzCwK1LeJ1eclNVhGCiTFuTHWkC2yrPA6SybDZAEvHcYcNOzFFCRZ5iIHtq
H8c21m9waFMKdQkmEgmpiPyG3bivlkQrshrYn9MKzO8l9RPtJhH+yW6dNVTLZ2XyjC1DzV91M6bN
vrIQF+ypIijFqAo1sF6Dj3b3aGjaNtbD+oxmXbC9BS+cW5iF2qJKyTVqdtCLPt5GM45ilTnDgUk8
S3ELIEupSp5mVxGC8EMcd3HIJGQyqVidfZUdy0xbEEuztim8RuyIrxYMNKvMP2J8Ds9jCEuYxad8
dmbot3OO1dvoajhvvpdrd0085S9mJOCR2iSv8Ve68dEkr6hWQ4e7vGi9DuaQ/1xHHn3kDtKLi2UZ
lbbgmecp6a2SpmTVxZ23ttt8H8GvATX11fRwfOkUJczDbijzKanNGchWbZSvC4O8v+Vi+Ct09VBT
v5i58nOo5hMHEgY98Y5TInsgYzOkUJcKhWzmRy5AI50E4BTuI5ldRqt1Eb5wqln4tSPzLFV98hP6
6YeyqWBARG1gVtmzMAp9nZLQXoU0DiDM3UWlX+6j1P6RZyUaXpHeqgaLWUc1JEMAxhrG0pdjR9mq
pRqN6pXxwPcH0q9hngMg5iFy0qMfOU8EmVYViq8p56e4VlQ0ZvLYdwAkmz7mFQCAgs9HhS24BLGY
ID067VrTEfPauV+xkmxnsKLdCHye4jmg1huipO/hyMCabY22yhrEvdRsGnwuErt61l90jQhfmlf3
FjDIqc6eBpERFbAo5rEUwS6jTT6yHgu+T3HejaL1BxBxZ596xMKXJHQbwkXsXwtZELNvonWUYs2z
JfM9vZq3oM0RzysbL2E+XOY5Gu4cSwOuPLjJit3nHl2OB3vTgMacQv50G3oox3Qu0MnMTdAPT9rc
xGs74gvpGaPwICfSGJbhjsFj/RjG+rxHbYCvE9X2Q9KW0bGopqdccMxjTX2te0ess1QhzM+4C3Cx
v6lBu6f3+v7/9Z+f9B8i5v/ZfXb7UXwg//wb8Yd/7B/ij/8bdWv4y0wHNQcb9j/FH8/4bXGe8V+b
DJb+yAb9r/gD+sdZou6WaVIpZ1r/9J9pBqXqhkMQHhqWjn1M/z9l3Xlrf7KfCXQnnfeGbW6RfpxF
SPop/uNKBiAkN3VyDUtGoLd4uo/QBScF51e280ro3ikMFwSuO/xx+3wb/1v+KO/+QDD8uS/uX1/b
1KmotfgcLvLw773tfyJFVRHhiXip14yrjh6fkbOh3vJgxNzPU2zGPJX7JfP4rmoPzcx55U/f1r95
eXNhKP0TDLF8dgb/HrU1S3cus71f8CJyIIuQAVwMooKsDDNFy8Hl5iAZm8x63fFF5cZh8R0kIsYF
glWNlcT0FFsF3M8CiywyscWEyOWpmzaPHQAQTV37BpsHlHzVqZuR3Gr/7FT5H8rrf7x0v1C2fn/v
FhfPdC3P8PgKf3nvZaZ6WwqQXqLkiUujsLPS5+qFuRxsTyGrjRyWDGZGy8Bgzi8w+O/0SDzCb/0m
RQ/Nv5H2em7L/V9f04U88/NV9QGN4XLEzkjiSLi0AP58R0Vd04TDOLjB5LVnenmvlZ28un2mX1RH
HVKOyn3jehxGY4ep0TjJk95Z95GZgXEipVMLFuCIfUUSd3s7TjdD5N4XFs+5uXS2pYFjnX1AxRzM
J4hfld/YdALq78JX1Wmkbsovo8reQo86inaeMLmbg0Y1anGrt/hsyKsSjDb5N71qiyNVZp+14AxT
KJANnuTQjXzICTC9tSUAQMLYXjBr40vTT94qxcrAwz3D2V9hvBCxb5y9HAvZGIu3MJ4+x0Tge5jg
k4cGnzIzh2Sbzh107jJ9pBIckoKn3mQ6MpFO/dVShtyw3dl0Xu2sVVyN7DDr8trIiS2tpV+IMlyo
uOoCuZzKPZsNmRUSUO9l+K3P+mqb5B2YK9LXU4a/ucJSsAdEi/EpI8nfdwn7fU9ymLCnWzP3Nuk8
nnBrbzvTgTossGJQyNIm/oS6EX0v+Dnslt5n5J1x+o7nHOReERr7Eed54LeDcRz8cQhsuz+0Dqa5
yE2oGIz8qt3JMp7P/eCpILXAu4iyE2snDp8cXYEfHscn1y5wc2kO58sO82mKDYgHIl1ErXnlLEZv
oZs1607Uxxb+I5RnrVw13KjovdgWk5yD3Jw/j3P0GEMGpocl2ZUA7G6VlREvKIYGkqJf0QqBMVKP
9G+k2kP4lzSQZJ4gQ+TIt6iAnmEvGyhllw9i8ZDjEjykE555U7d32e9QDAwzNyxCdyEtsjdWN72C
C7pNEifdlk6GaMzQYDHjvDtNsxaSWkGTYV7VN/djRSZ3KUboJDl82M9rJif6UhsUrWZwwaRvxcMI
I9jphjeqGMUqL2x761oMiMuKRu2yjWtaQjCPaHH55Yj4LmHZzeTwCdbzh9ck2kvhZRc4TRdfKx9b
OttuKHJHm49PMgbLABdaNyL2xBY2JO9izOrFSCxCfNnaSOhYkUwCK685Y+bdNXq41tWE5xEeOKRW
XfO2NJmftTa9Mpvi9zF7W8NAf+C8swrp2uslvR7CeB2nPGRPhDEZJ8+2J+h4kTrLT6rPAORnaW8m
AcQ6x3iKTbAN7KkYr+FUvFWeVpLha0rehFOThECc7mPtQ3dzLzAT5q5j9/vCihkyctg7D9nBl50K
2rTpA1MlHiks+1C1Csmj4reaDawbNtsoz+cM0jc6nhe2zBdftJfZp4RmCKloRjikJ8NKgMbLDnUw
BzvCnHIIcBSn8MeG4qbvxbQu9DFc2Vb84Ck+SFIYhEGHYm0IYj8MxS0KI5W3kxQARQoEK6wUe5sO
prwDmpOvYhLaZO2MZM3y89iOXO68hFgGUBOJr7nKeSSaWjykCaY+V9VA1WR8Bvt5zyiXeWriPmod
/ZeZTWmHF4onzYj5y/i8pAmsNCs03k16Sc35U1rYlNL4Lhf9NS9Ajzg1ZUxULe1Jkz4wAgLSZUwP
Vb7osGTUgmlIn9mh3ule/FUa7i6N+Q2wcscEd+YL7ecPmWw2ghqpzvQ5a7f5J/aqE7PLF2m51o1B
Lwlxi+Hkzc3Z07rnpCouVuw+Dp0BE1Q3Nn2Gh3N0KPPOQsunYhsmztiOn3Oi74y8ueokX6FKH9qM
Rh+Z+Ifc6S48q2eCR/M99nh8F+FXrS9nhjyr11Oh3/oxYyQ/sc9uqN1WQp9vkm64tyNnO+g51Ixp
nejlBQzyVtnd1R9g3wn3gxkRT0LsIHPebdKuGbe9iflO7+6GBpJD1tT0M1UvemW/6DJ5JGfyjkZ2
TR1vQzDyVMyU1SDr4kytTy3mRob/cYTm3TgsvfNO0wH11WmFL6JiMEkX932r9rRZs1fImA114zVL
e9jpxSnrkgdWYPoL5uLFSiXKvI2iP+/cOTNoGTRKwIL5pXGMz1J37sn+Iu704U5m87XyRH+ADeFl
KxtGPS5GwBr8JsUwAbO35Z4sJiCbhZHbT3IveuO5irPvVqhzzKCGtrXEU7bcwGZBUUuLGT5WHqHs
qbvOZU0RolE/9E21S7TsVjem97yJbkVi7mcabhuDtqe+xkjYwdRGUD5OVCNpVAxyXxacm2IDSBBq
iJuP57JqLw3Y/zku6xUZnBy9QT8YYb7xhvJoeBQR9lK/t/KSDiKGq1Q2ti9mXHxLC8CySg+fEF8J
UYJ/xidXBIMlD5PsnudxpEFgbtJNBT8J1q24U6LbRp61oc3lXNbNaa5toOF6fE0xVN9YfvxQ2Ex2
mgZ4N1s/dm3jcBnNJFw7JkD+iO/MX1C5cVbd9ob4liC+sqfgPN8tYN14QeyqKeLGwdCdDKwXBlFV
YYQ0RjUDcAmLcWxieLioLVcRj8LEq0fe2UicZ9scjgl5u021MJE6nPZN71grV+FztWBwMPknop0r
e8ZL0NI67oNjGlrwwSUc4QGecKIPL27GA7tdUMOclFE9oQ8nsIN5M+EugkuswyemoALCIBVxK3pu
7/GdM6VlfXAGzVrR9VBtTQLhY92+WAv6uBtthjnQkHN3AcJI+4pl6dLDS2bFA3sEQdlp5xdGSHuo
OB+WC2JZSxC6ioQmSOjL9nKLeQuQWfna1QehVHf5Uw2xmYDXXoPgHGqEskJUeXL3hx7QEdl9BEXp
zsWWwgNUIjU8jsbM4QI6dM3zc818AaYoie+KSj8yr9mXvUCl86QjO9uJ23jhTTfWbVoBsET8u2ep
ZfC0wKnB2/d3+IjLFT6QBH92eod3zgsyt3kGuWg+xAvoulmQ18UCvzbZOVA5J4hgCJ6z9QLJLr2F
j61V+uJ/2BcEPgLsvazo0LUt0mOrfgFuZ4k493786GvuhiuMrpFUL9VC6dbAdft++SyFc1JRGN4q
MqpxrO36MdsjE6O1VrC+G1VdY1winAHYXOgAwY1Uc/FGMGPn2M/kGAnI7sWh/p0jPrr3lm7c2eyB
b2aTb6s2tM+o6e7o4nxxFhq5tWDJI0okqTh+Ghdi+dRYHaPoBEOptYtadBcAJ9eoheaqFdmPIkxo
mqeLdtvM9J6xCD/1mumso8nsgrFHkG1a4kXxgT39GorDufKqO92mpnUCUrLI5c0Nyz2tGONobJXq
2bd1zfcUHwCftxmWM+N3XC5PHunT9SjrKqh86ylPpIs91e62pW+/1uz7fPBCgc9YZEMV670bebcZ
vrtY55iHvnpkTrLseTIr6FH0jn0rKP1knv7Inmc8YoYAv9TAmJmnvLqAMlarrkKMM1tbEdxwgH6n
QqN5smEfSvsVcr1B2j2CuNaNbvMtbidyuIk5xeW6tj0dqcqghrQqKDIssemENfWvUYjcWkpCBBid
3YzyqzFLvrcaUc45wdHYl8h8MzrzuV46bfo41omWsAnpslbtso7OaLa6tyZW+gBKF/0B1BCE3nzX
ApBnOFTp0A312G2pe+nmr86b8culVBNY+Lg2vuKOq6Tjn5oCL/oNuK5oV0Dl3fbSMPE7muShoa3e
+0VRPbA41B9UvdQbnJjX2A3jB6tgq8mTwkTuatN9a4rozUtN2BEVRQ/g0qLbqRUUMRjNkxNFDCDh
UWHG98xXM6Esk9050j+st176MGdLnlGoQ4V3r/SFp17iRCTGVu+ssdSosoyadYpZfJWj3lDK1pQX
ar6i/TxW9Y2wOYCAadprpmCenC+xG+UkziaeZ94AKtrRGonA1PaPjlyKakzAcDK8lCPNanoUNLjs
1bB4gXTKtarGuxCoGN0Kqljoc3Udf0jf3YR1hKgGWYcUUoKTgmdIhOevyd7a187pso07fqcthNis
eztM5kEfSbGgShFKqw/0yDOIhWALFG6T1fpa99DpNQIAMSb63FgbFKIZ/nxlp3eoPf95yk8lU8CS
tc6DU2Yh2q4E2IWGp0rjjHKlLSvm1FMyjKa+xnrPRD1GCKzFtzD5zl5oDSectAzpcEozzWy/WMAr
hCs2MLf9EgipWAqMvN0yLIEoZ91bmQmVQHxzJ/NpsNwFXtc9Ca23bpye1FRZBqGOoVBkgWBxLf0B
swLSi5u6nEfvhDf2ezBiB7g0gd46GaU8uDnLkgLyCbyFBsN46a3HcRRRGVOm6YZY/o3AdelS5kP/
QyBo39QgYxCLOpRkQTKocUq5+HcHrh1CJUgi1l1U8SiDA+CxP1cznLzONgNfgKfK3c+OdIxuUXmo
4erlWQQUjWAPGD52pma4Nkr6MOwp+3RU+mTPRb/LhNOsQnKLsOVFURprzqqslb07TBxHaELvHNt+
H6WfnmVkqRbgWkUyaSDby6lQcmfbccxZ0Ains+eIo04NXdKD8VDk+AOncamDC60sGHpKj9rUPaZ2
1lO3NTz6S/lNVh0UKJgyJTLsLIs4dJMjeh1VFmH6OA39lygw+UwObjmxn2sijynEiUnTbr1YHDWI
LFo63qWiP6VR+J5WFplK7cxsa9GFaarsYzDR9TYux40pui9R+9eyb4lWTcYTKGEHyYQzC/4zAin+
8Ca9eTdo2cugy2UV3rCVIRP/PY/V55B0txRZY+foab8z61WcOEHXD1+RbuYbnQZaEgQkfgQttqWL
i0rg2sWiXHCCgjonc3rJrLUDL2UKFbFnrKwTvqp8l2oGKSgoMCFpcSnY7veOOiGxTzvL974hBXzI
tH62YydHVrAJeVVUKc5Y05xVaRSXaiJiCjD5h994J+qIjxNmKBOISqhP1y5ik+d3RxudAN2EY3++
GZeHyszpIGf9dcoJQ9NAT7e5L1y5oxXhqFnOGffBaap0VCRiXyxsoSovdMiiXVY78Aw7um8TTkLU
1oHblDG+VyXvpG9/1h3Tu5AkBGR4ZO/Gu69Ni3XCX8Vlshul2E0mudTCYX/GTKbhlkKUjT1+Ov5A
cVi5LXR5Rw4fHR4Qum2SOHM3aumcs4mXjfYrNsSXPB4uhua9YzVkK4lUUbMd0rOWIs2e0h1AfDb+
XM+6DSv1VqbmfWahBRVavTFytlgJJhdybJfIbHalEx1GHT6Di8uzhqNXZ81OCLHzAFHPlXfPKGZn
uPEu0iGpxc3VJaRWqTZBILflbW711DqDa2YIReUB3c7vPB9p+SKcsyps/uZCjvE1J9wAmD8gMZsY
6/Nk40Rz9Q5Cg3WYEkV312ru/I7E+qTPUEa1CUt0quEJa+rMXGHed1Z/Mzv8ZR67TA49AtEuIyYC
CcwAf54cOvVEmDfhGKRW+mraKoBlDzzKHwDNmPtujUHsYT1hDsM69rdjy38dWv75pf1fxqlSagOF
mLx0cR2wKYw3N/ZNH1CY0K30HRTPv/6kCz72T4Pn3z8o4XEgti4YL3SBnz+oskRbOhygA7++Yjq7
SbWPXFh/MyL+fQT8V6/yS6ZjsitSZm7iBubW2w4A5oKJzOk63A8rGHfb/KlaoyCujKfyLQ8kRWx/
oOH+44za/LuP+Yu2kOApSYewwmu7yfbV3tmY634778J9vEUg29b7DuDJhpqjnbf67q0I6/71ZTYQ
V/7yOi8lC38SGGq/QS8VXIFhQynqByRSyEiXfJ0EcK3XmMsB6wNR2vztC//rJydJbSGsWDphGv7z
5xdOXKP3p4oncbQPt+muunh30PC7m44rDn3iRSPB+Tcf1lw+zM9f90+vaf3y65F02NUyhZNWr2lA
2cid2rbbfOuvOdBsipsbcUOT3E0eVKsjzNxDtnX+5q62f8aSw0mAY4edicmRxQd3nV++b8AwmHfT
xiXJQUQ9NMj3j5i3rXDtk9VNFyRb1B7YAa4cO8bjWRxG2LccRpiVUW2edj6zEbHRFQFCMjAJmxbP
9vbCzTaz3j3b/Xw/YlEDJ3yQ/WvYwyYiBi5kH9Sp8ew12Wa05Kc2ZqekhY6GIM1gVdKn6uCCMoPB
to9iHv/mLv/5q4bi5SHi2ZRo2MICxm/+8qGnvkxM9pZGYAhBsV+U3RsDJK2Zre9f383/9oWWzbPt
cFMJZ1k9/3QzQwLmTCWh0zukNG/KBpt0k3XMRnocZL+/1P9DzP/rDz6IxZ37n3Xd80f1E7/8n//M
P0Rd9zedSAjaoSDpgKbLyvqPRJ/3m22S5CNix4+f0Dj/0/+KusT8KGfkX1i0TKCOxp8ifcZvJn8O
xzbLBShGsoD/F6wIb5G/9eflgAcocT6o6DzWfB/H7C/LgUkrqBy7dgoGAMPMXCNgX81bWOj5vqak
KjA5cmVEsAIr6elQ4dBpRW3MHgORY6jIPUeh+8q28kpdrreJaqtlz+GfbSYkCGjm2aQ0TintpRrY
4icaiEcjwtOUMsLN4ums8vk5KwkUSdnurEh7hl53DgeGKXmZvFXLCIFITsNRO/oYhmqBdNPH2ntC
PRZW9GO0mdskM9bhgpb2tjloXPRAV/3ErsdWGx3X7U6lUBfo9b2vURxpw+XcouWtu2N2dLHbZR/h
03WB+/fZ6Zi8VPX8Bevr5ERopAxmzuSLaIaNhkvdt3u2/C/mHGMI7Qu46+5DpGdLbcnOiSZ6GmV0
27jMK+IIY5gnsFqyxD8yGojWFkZfXLh+tWV6sWcC8SYFjVvh0pLedJRT6sk0AtvgPCdUHq5KZkyb
yAKsDCqvX+V6XG7jKmbmPNgM+amOT5qivfhul2zDVsPOru18fzyYtf0S4y1nJFp8lXZFTrNHvLBC
+elHyR4T6t3ImHn2je+uoMsHM43L7LBZ6/TPtLQSF0X4FKaEf2aRndrZ2jadf3by6Ltheaeit3at
TfuMYTyziSXRHSa7uCUQHutxEKvqYI/DQaA1uZTlgOd8awldzIvPFAY5TEKzPhvS28Z5fWkMuaX8
PLvpjAKIjbxDawvXU6J98yZ6hJyRou9SZt8nRefwwnKk1D15b/uFDjWOH60PA7IV8UudME8onOXQ
bG9AnQBtGL3P2Ere5Vg9xMZ6tpuT1hmPcOadbew3gjhW8ToO7Y8hwy8gOSWzETcwZ4bs/5O22ULU
T2nKkO7GEWwofS886JpzmYjUB72eE22vNzgqs6fKti6dZeyrFIWM8OZH3RE7d/3Qw8Gd3Dtzvspm
59xSldxXA6cfx3oqq5L0QQIpsDW6N6xwl8EE0PM/7J3HbuxYuqVfJdFzJjY9CfTtQXijCJmQQlJM
CLlDz02/Sb5NP0u/WH/Muoky91aja16TAk4dk5KC5t//WutbZRge+lD+wvJDkmMc71hI4v0ZaOr0
xQCma4i3aRWfoxHjlVd1Wzp1AWGnFAknK8svn0QDMfMv14NmP4DK32lddk9ecsB7neNRdg+jpe97
f3xoXe0hKLr7we6OLXkGmMRqZUoIn5SwykmdB6t+wNoPG0ijF9s/EqQhoeM9aq2xV1H7xP6yQSCd
tDlUd8GA+YSD6dAB7XKA8ofd+JN7mIabsrRWWS4IxE0RPLba5kjPS9zqSrIoxrqRaUvGgBSlgECt
UIN5DtRM0iVl54nI7i2p3khSbVtWtVmD2sDG6SEPo+A1qbFd0J/U7Ui4hGsXW9M5sPtg602KraT0
y7U+l7l5AT1wSZW/Jap8r6fsJ8jN765k8zKRS/BS+UOp1Gpo3B9oFvfJbJkcm7PUBOs+oZbB/B83
/BeL/OoiJEJ5c6qsWAtR7WBGpftCoLYr/yUss2TfFbZ+GjTfBKDhI9sNaknSqVm5o9Ax4A39Oups
bc/uZwBwBqbE7HCxW359mZ3cNFWeUb2vnY1MXIz7LjX21oiveizZqbZNp+GSDujNpN6QrsPI+XY8
LkNMtasq7N+HEV2APQUIBLy68GdV08ANyh90Ud8MrQbSm9Vno9fh/iXjxonjDzGlJ6SIF9sKf+VG
7S4tQtetj7I+Dv2TRVyxBmtBlGZvGPG+L8Z55xA8kv8aFv6QnqA3+osijr9KX+FMIDmU4sgTHQ//
KZ0+CyD8ukb3Tykeayv5mVRFmA1+TKXuolGHqWQQ6za4qrMLb41L80fYCIxN10lCItQcsxUkTexc
06J+pNT2VLbjjs4rWhgiiB9N89NG7lYG4Y8how9Ydk9Faz6NHjW/g4mGSOnhU+Wlx85BBK+F9xow
KCq/u0S6ItkqnBc2eD9+Vn5FiXkVoXNtdfs2SnGg0OI24Z4B5g2OxEga3gf1a+jR0T46HLqnvvvC
TLjRcD6QDBm2g0GxoDe2h96ahpWeVZD+9TFYgfskTmMfcXuS6WoLk94Lfa7yk+P5DxBlXWkvyg3e
EXSuVuDuzbR7otziMdTQSbW+g2HsJbuOwO5C6w1n03QERkCcv2PpgTLnJndeFp8NTR7GSpwVxZ17
BvBwxdorBZyMAWExSCvaTg0Of+HH7dqPC7SjCLfpiMl1lfR6tmli79JyS1H/oOEupVhu2Yjpx8qr
bG27+p6FkL0W7HVq8v8Lt5GKR0V+FR7t3ZY5GPd+yKPOwxy+Vq7tECoC/toofOWNaD95bBWUncJl
HcpYrGoIROvEy8DotKw3WIrSnZF7CQ0heYSZBPlQ01i3KmnyKsV+e3ayqdglbIZxw0bHgQbdDWGP
epdbBLXctBk3nqarlQOqaW1iD9kFnfbC8eow9Fb+WEfVN+eedaTlBPb0rdTqB9PNQzhc0lhrvuWe
RA06C4yHvhonHRJT7tGq3PKRdWlBOsJL2oWdxCR/dPM42YWz9LkLNzgwMtKDxTUNZ9r7VIZbSjXv
xy44lbkRgVuLmJCohp4/sJ0I4nsd0yUvVO1hCEZMnBmGotbse7abhnZkYfgawfFY5LG4q5viKguf
KGKLIQV84ovwmXTsVB4Im9Ady49pq/v9vRWrXRQi+lvJp96AdwwNAnTSbc259KE/lYoFnpMrfohs
/DoBnFahlWT5dK5j80FL6KYdUlIb2iTeY634Jvd1cXz+jWjCF9J14q6KiF1m1vBRRfGzG/i0kkty
9TO2fKWNxjc5hicoC6eu1/jU44INcNF8SkRE8i5om6F9FgFn+JItGSID6iXVLzwsj1GKkT6gUC9K
W+Dz9SGL010Sy3pDhu+782nVyYuTngQg+usN5oVj33PzC+6KcrAe4jRck3p+l04Dg23iWdRVLzY2
vUEQnYtstsotrXcgtTdD1bHIVXeTcCk7ofk0Na1P/uvUjkyCLnpRUBnDxIi/3KZmcNl7AjlbSNzz
YRpuoz57Afl7NryGPENDhSdubWfHJpgUxuAQuA7bFvyBAn8gdObBTor87AdmxVAUPGtzpoNsR0HG
AyvQLphDH8ih9Y7c/XdKHqTCiwMeCAGNpIg5R0ZwXUwUxBEj6Sa8a3xm+jElYyK4AgSZE6MQZ30O
ofiTXmy0OZgiOwrpVVx9eGRWslK7DUJ/Qz1NcV3wP2ViHvqAcpJhjrz0c/glmGMwYUUgBq0ROpel
IZ0wwlImGT6PWILQUTry0ERq/JTN/jjHbCAAXIMk/kyT/KeV4kOQx4FoxMMQPitK+LZEg+BL4LAw
4JOyJImCUes2dtk+DOR8IhtdpMYZscGbQCuaO73QoPfZEg+yiAl5Q/OZtAXrh0RDkZ2zRIyL48JQ
5r2KeR96aLkP45w9cvL5u8ljWhjnZFJYICyHA4OH0eMXQCQFAuDRVgGCbh4GAVfEnVjHIoK6M8+k
jSHe8zkNRXTrJS2nr9aELd/Oial6zk6JQfxYc5oqMLHxA/zqjkZnkTmGI2a76ie3VvyIT2Qjl2NY
uEtkK3PF6aZcTnN2a5qqX707fjeEurQ53ZWgElE3Oj1MLFYBGI73NQuTTRbyfJy85hHUB5N/yQfv
Th2QrHIeSgvKLxogB4wB6jbyvS+HrNDPU6B3qPYuKJ/gEPodoZv6PYrxJ9jpEFFU2XWbftCfknl4
jMGgrrIheptG+w0tzVzji5tHfPDtloruFQ4N1UKb81qeP6Y5cABq8/tOL7XlSLARSCyZy8iGJ1+F
PLRwGt3COGmXcUWQpTMs+ME+FceBSv29ZUaPlEQ+WqqkAcgmsqCHBdgus6NX3Y2enEEcWgFOFiIa
ijAgpI2RudbZKLT7HIfglNp3mewkoXK2QxojE0Jtby0J11PPUrhPWabLHWZhyrX7aI0e+2wVJmdG
YyaOh7WxHsPy1hedvq2cIFq6jlYTCWnfEi+kXRYdYKHFAyU2dlyve58/BpfM5mJtPAxPqA8+NTe0
yngrp+OmiEXS3SuZIgfkVsMFJfYDX7IvBfD0zsrWVaYlC8uBrynGEbNb4QF2Jw20AYmHzzAnMm9F
Pau2wEng1Xnis+4MpEtaP/EwTcPWQcTCUd0lcMOL6cEb0MeoRAoAVJCjovlHA5niM+uVmiRr0j4b
Xh5tmWFhczedtzR42Cz8vvLf8zKDS2hH4X1NNdHR7KeUUEIG0XBO1C3BBC+nvryWNYvkUbO/mjBy
FzpC4tpCTFvDz6UaS7afZYvcTTlZwU6ABydJpUVKoQLaqpnehErfLEzgOCfpYW9lcolbXpq1GX3R
AP8g7T5GqM9vCPOEhb4d/zkHUPHiVaYBr02Yj02AYG6RZmcAzgPc1Hl87XLHJqdBdBxUX7fnAssO
ne1aqxRYOQ4vaS2oMqGPx6w+pATxT9Sb6pcS1hyKFZjKdHiKI1xNVp4MW4KdN2Fmr76WvMuKWkY3
LuQqKWVBqVT+McW6cxCmtjI0W+5agxLwwRLGbkxTm9E1eugNI1vKsCzQg6p057b2L8DF5qJxcRxN
Xj+ir5nEdVx+fE5BOW6tfHnShaYgks59DkFyB4I+Xo0c74JIv2HlF0CuB503YWbsNEO1H43NHI1v
+Eg9e8gZzQg3XAe/3AorwCTNmBMZ5uYIXIRbVdz1dYEPYdB+NcCawSyRAsnzWbHzOTAWeqI2ZeSW
710+nDCNPBbw2bvOWNlxfB9b1LbRCb4aWh54Zf8Vmma2HGhlF5RgLByKPXzAIv/eD/5t7sNEkPnn
+0GYopJm4Pi/Bj/mv/fnjtD73fTgaEEEAeGFmMVv/bkj9H9nEYgu4PgGIANP/+uOUIMuDI8Y8dEH
r0XOg8/mr9gvdoQ6vwP2yxbkP4Rr/Cs7QnaO/7AiRHiywbKwwEZ0g4Myb5z/ZqNMU1M5gE7nhefH
j0YRb7hsHqh76pdBLC9myMRjVwxnwrsGo9NBXRQPRVZ9gbG+ZV51yhsLBJHfg2L0WGRNlsb6opzL
zcBqfkcFzqHEkRdlzCF1mPlhhL2slOaOg8C08rKU7nnt1iIqLtyK8bYeo/E4tAkGqLFyjy7NCsum
1MqlW7X9thum4OS2s6fFqR2U+cS91wregOBkX41qmo7sf6aFXQJ3sVL/WiaSOb3Ch9I2wZJojnfh
QE37wRjOnn7DX3da9jzUzT3ElGxZt3WxZbVVE4klBEPt6TeW+Vff8O8yxwBYZj2Pjj+t4I5BnfVT
JLQsJyw+zL1KofEi2rjZJp6q6Iuj8kyT6gy/8MmJGhoQsUZEDbp0UeXOC+e8s53IYxFSqoOevC2M
BgOx47zSdXzXmOXJsJo31vq89sg4mD5nUBONH/95vw374n5ojUvUtRfHKl9tnQCn46BhDdmXIe2G
umUvXZZR8NL3aunH0VeLFLXi+UlvjzOmB0/Yt0HilLXFmxVP8bKy8BA3jv00dK1c99L4dgftvZ+f
0INdgHiZn9oYV3mQzU9yqVKkmPnhDlkaq1IQhUtII+ajaCOTZkfeBw0DEZQWavjmF0YzDg8Nb5Bk
fpUMzdy4PRLd8Hw6hAs+bP7kQbZ1/MJkgMfUZ29Ilm4FKadggdhyUOS1lc7vL3t+kxnzO415unpp
dKnup1HG+8ruxk0txmxTxyGOZTMhHkhEEFycKVrMxbhmTCtNNrIu6OGkbEKfLJ6Zjf+YZFp+GLqw
2aTmoN7wLrCUFvJEmu+lBkmPjSzZZql+Hv3gIa/Ht7pw3hiwnWvQ0fmL34ztBD4GW7CCrvigjZQ0
lejxnWb4LU3F1jKudajJHsI6HwWYMiHuGPuGQ8pLaZtVnUkUQJIU1qNnzTYocMtK/Tzo3k+sOHaZ
bUWpHo6jdZ/nJ7MYf3UEXmHsdfuqT37pLZbUtJ1wzzXjLXayPR7PbV1CoFJhXx06YZiAL7yntmbo
7qxpXE9thaUIO17bz69/xc4eWJu1q12sO1SNtxsaACi97olfx4262Mrdd2QPUZ1AHLt59EBt3DGg
lGTMOWdV8HHokHrRhuCui/3vMrIfKDl8Y+/0nRnxKYvCVVw4J2uEzjVRmLa28+ybUNqZ4263rlsd
36cxnBVRiA19wLhFHOPJ4W1LCoFjvxY+uKP1Ts3OQDeju87wx883zrihL+oyjNN5kHVNpqTI7io/
I4DrAoUz9ELftipeC8cBr82anPApXh09akMI/fpX72Bt6zKmXK6m8bEN6EWQzrPrh7QZpiSR+yx1
GFI4P1gmVZyY8pvSJe4lOOW7sh52quqSUyvr7EYhXQrpdJyIt0xHu8o4Pme1AZeL4I5FTc4Oi6LY
GcLDHUqrxsEhObwJJBbkIaewDsMhXIpaktkWtDVYVXhoijY7Oxixj0nEhhIqE8aVftmnbEKazDI3
SZQ3Z9IyCtp2+ivB0s2W+1hYfbyixJ3TBj8FAtnFubXEL1EH75rvEHfOuWcLI2P/3aX3FPhdsqx9
iQDQGCTJ1pRnRps+6ZKdVfDMEV7w6rre0R6bgyGwQHal8+4X4UeRxMVhGopdluTuup+bcGRYt8Rd
GoYaprBtOkpQXZn1alLMtABXktC2RMtlUEPmMCgqn1wAvyKv6ZuwK21B+yK9h/awQXSBUWEmPwZG
mMD2ITt6e7cbj54OcqIhwb7MbOeam+Sreand/DB6xWBOh0XjfvfddI6F9avXJ5Nql+IJc+KwHPg6
HrTBLw5Gx/5HE7T3YKJmKvP1dhv4XFiYkbi16RDhpYzm0oSfCkesShNWOEYyQR9wLqqmC6ZpTdpj
HCw9hG6xIHN2A8zmo7Ob5Opd7mQKu4S7rDyO7JqGmD0OJvZl1Bwr0HJOfPC0SmztjO/OuyiGW1d1
dx2hMA3UPw2WuZMuo15t61Dc+gaHqhzhXGlR+F2Zk8aCsUI8MHyanEKwDRi9Xuy+vhud6vXfU97f
TXnMQ/98ynv4aNqP6eO/GfL4a38OefbvtofzCoFV91zGpz8nPO93QpmMaTYdEkj2FkPcf6rAxHeF
sHRkYLRjtF4u+b8OeMbvjvB8axaJHar9HCqu/4VuCcNnxvwHDZi+CP4Vg6/SY+b8B8sADnItxA88
0vVQ42EWaQTr6py1ejC8p+bUoyopwjd6ufKkm1VoIoOErko6al0ONmZSUdTHkXAVK7d4/I7Nfly1
VKuEvtsc644mZEM67QpidLHFj+fcBWbEqNTrEaqmptP5LtWV1FNzTgOr3CJq1K+DGXhrn/XWte9z
jeiKWW+m0KR9AfrJhoXbpzGImRSB4dMqKEnmkfAaM9dYffFChC6kx1aKWxpq8cHibb9uNEFpMDPF
1lC+h9ip+kdWoOY9cT6LHiZo25RROPuKmkBM6LnYBp077sPGVs9Jq7Jl2BXaHmy3fGnCKVqWsDie
AngBF5AM+NDop8IfPfbPPf6bpzSU5tEvXe7YxA+XhJ9YiQZF+uGqkJRynbCZ7qBRIQLa99QiATYk
HXynJ7isq2iMzmmmpevSd6ATWR3L/JF/GQXNv6P4bLo0pEgO3iiiU2ihjEwDf3ioc20rUTt44LRy
A/GLU3xYqAtnvwlwplB7A1Vv3Q6Dt9FHYRGFy4YHohuUC2myex4GhZQhCS73blQcQ0KdnJXxBoP6
SC9z4mBte7Fa6SXP/pRl2rHhjYKBpqt3nqlXDMqswSYumGNTpf1d5g75cdQgasQjuQ2tiYZDnJP9
9FSqk3+qreMs4VKghgbbsg58UaB0jiE3BJm8sJBAI3AvsE0yFSmT2LlBg1TbzuSjMianoe1N1Hjp
FSdhUjCOsU9K3b8lnQQr41L0TC2uVtHfTNnJJhhVd22Ih+0syFFPuXTLfi3sUMeVm8L761UekQ4z
q/s46Ti/+GP7ykZxXoIMk3wjstvtXX2YPiGuMJ/CznFurCEjSJA8vO/oVmlWfiuJXXgBytRo6IwL
5YBHEDITNv4BydOLd36fFVsOR/EqoGTywytAgNQZ0HEr9xEJXMhqynbHaAeEJAGuHGm0X2KSZv/b
Z71x7MeqRws1pqvtpz5o8RBKmNM2mA2ENB6MrPc3Bc6FbGH4Pa52qQxQhIWnjhw8+N5mUwQbnPzV
MUmj9F49rEZDqDez1vB4jkW9YghOXmqWJYfWrttt1g/DQ003zDEZLG/TmtST828DaFuGHLyybShy
FhtJE8t9XqJi4M9ztYNqcnF1SS79aqMYF25mpyuXncNJZgWYs6aTrHel1br3dZWXxOdbOdwgkvQ/
XhjKcUtnBMEhMJ5srbtRFICVBVuVzk/VTjlSLIuaaPiUueOTZpVslAu7246tId6C2Gx3fZBoF4PY
3dEO7RBGjdWAlfPjFOC+1yTPuiozbg5Qh5S9uFsrT0f0d9BbTz4ImVujIpoqgFRG1SqCk3YVcUlp
Vx+KTe637KBCVSnk5SAO0fDtKRnJ6BkEIrxS7/R9Xvd05vh0YAaLmCq4YY5cZDymGotnTIWolMdG
uSyF6J8KGWu3sm48pLak//bqqnjGxtA+cwhlUwwf5LFM9BrbNoGPu0nL3ecyt62LnxrRuXOECYK2
tMAGS9JfeaP6r8iy+5fQi8e7OGoVdsJ66O9Ir/THf7/3//O97+iuS7CA9+A/f/FfPopW/raCFFWE
8rfvn98y2fz23Pyf/03VVPbR/N1A8Nd/78+JwPvdtXiJOxAZgDNZDm/3P4cC/3dHd+BM6L4D1OMf
rGEGSAd2Oz7vC3v+bb7Ev6G98xafjWMuf5ViKvtfq5xy/uvehxWTbrB/QlIwdesfLItcqTjfo1bQ
Uel/J157i4X2HYQ42j2sh/vEq76kGN9tWm63tmcThQJAs8iBJRm59ZrENtJaoimSEmxX6S/0twUz
+CIwxFbL6TfM+vjDMMInT/BMNBJ/2FMusY4Ki+LAYrJPkPryZUccadG3+KdcIOR3JY1BnIIB42RW
dBk6O7upzEowIkzDjs3CI29GzFxF4b9w9oHtkIbX2ijxhOVFsSrcvFlLDm8dhzibXcVjbo6oF/MJ
r0qsr8gcOfPNp79IxwlHcAjX0lhfs0Sz1nKw7VWt6fBTNZXdUXlXr0YOlRTIX/r5lAmbmtaQKsaq
kdDNWThqPgSQIXQkttaaKpKgqJdN5m8M9gEU7vl49u3ykZXs3izJmxnGqRHsG/LEwqJmBy9VPIeR
RH1ig0aBo4VJSMuovSCt4q6sqsCdkTIBoHkJSle1NHlo2xHHi0wfIUPXlAoTde+MSZt7GYH+DOYb
xv7n1rRqkv2jg4zhpxuD/tel24XnLJQPjsfaJEx0nqZF1izqmQ5cGIW6xW6ntnnTbwuTQpyaOOVO
sC1bUAdq42BR40My6B9svBERY4qQND14LBVOqqkiFar0tzYOt2kUIafU9MpwB5wTp+VMOl0NzqZW
bRx8iN6sEQmQ+/WjEwweqURqI4MZkWanIS+MRj7LKmWXl2jnsSbsnrdAu2xElZwT82i7D/ZMyYuF
C5BwouhT8nnnzZ0o5dkik9Q6PQWNfQfns8dbrLn2xRAV6eUEhKTbP7ku745WX5eUWuqp4odvT8Uq
7pGfiXQvfIVgkqkrvr1y2fU6V01urEXevhYVZzedSDxSBtNASq1K7TxiFHwck/IKyuxmROarCquL
UOo5koFal4RhbZovV+WQvMeFIZblGL11jaCwyWV7Ws9tT0Wx9ZLhm042A1IeBg6EwOfcLbOFapmK
vMlG/XBRi3y+Tl+Q4J70EoxLdrVBiFPayX0Wtv1PHdX1Rlree1u3bzw77nILHoyKwPEB94IwX+Tt
sW8M+LxwrNY6q8DaK79VoT1aSfZWm3IdCHU1EXT02j82YXfqJM6ZIL70cHMDQ32Tg1vpFf2dFg4u
/JhLw59Na2a4b3GjpWRL8DWCd9BiNsP6HPuikn4gO9y3DxMujqH/0Pz+oqr5egr4dumC7Wv3hlPy
Dt0GlL6RLHHkALX1j3Wc3JMbgpzT0LMls5M/5kfTyO8zfXpOtCZclI7IV1qqPrjG81OeOb+oYNhr
XrHDtTbtpOQJQJrf17DaG7TvMrsvS80k4dRsQf+xsPA3QTIK8qPujhP0QxSbz+1YHcKs+PBlexqd
ESipo2Kk0ew46fkRS9OuH/t1ydcxRt4dFT6bpBKnTrU3l4iVTrPScuAGF5aXfJGf3woreIzIhFLO
s83seNp0urjqkXWCfc8IaDyVRnCgEW1bUJaQ+f2O/PAmStLXihV5lOQ3rkSMhm17xcOmw/L3yyUB
ogB2deelb7oqbmVUHIpa7Lu+2tl5fwAN8WJ04Z7v7dFph20fePtKXKXzRDmOWX9wzZ4CM9iKyQYE
Hp4dCpgX0sO0hapOLfGphXFAYcYrHR13kgMLGjofLVUZwRYfwWdaU5Ghq/4YmvQjNNqxt4ZfnCru
XWyoS3AbB20MXbbN7hlTwUq58BaBJp3cWlE9xd/1fCy3VnQeJtYwsfYe6nO7Um+wvcQn0mTkuAZd
HJqY7B+XQbdwwCsvM3w3AGnVtcrhfnCLG6fYUjtjjoRTMYaZZ079G8T/k5kDYAEEYM3YrGTY0opn
n0OQAaB88FQ6D3JmCVgzVQANkoChGj+nIj4kM3mAQPUmmVkEPVACAVQN2GLxZcvqlYaHbmfMBIMW
lAGY0m7hAjdAX9hkwj6UDitqssUgbAAhhHl37wBGcBKImvPd0KgZBzTTE+K42XngFAjJ4wZsOhLe
kBZMUe095ex7IY8i128xSAaDpK3HPk/LYCJzYHmeeqcknw7UmHaFI0DDF9Y+N1jSTw5b66Xd6dcc
l3A5p/WpEitXzQyJELPXsPmDHBHWILwWowLGQrh4ADhuGvHSsVOsVc54l2XNmp3FrrTRDqzRfCyy
6RPF+V7rlFwVALMXoxh2jmU8YAXZNAy9o5P/NDPeIqqjpwnexaCaYwv/QlW15JlrETHM1h2AjKSw
sGkDHealM+LwHcddPPM0mtwlmT4zNsZa3pWiPON4BhDulXcZN3BuJc/Kzx9SgZ28yCtONd0kmRGc
taSifR1rNDEBQxBJcint/JH6YGCJ3lPILmDBwZt4dzR8eSXcURYh0VZzBwwYdbpqJu9STfneDLOD
WfRUhQxoTFbFLB55+iNgKOK0fQSxBD7SqjAJp49iFv5hMSxHaEKIJQENl7PrDaf0jxG2yWIKYTm6
WXkl23YpwwlEfnxOC0es2167aj6dB4gMjxXeNDkmH2Pn3mca8Kmm7/ey1+7TyXiL/b7cenSg8TMF
LB4y9IMYa/DvDuHPSL52Qf9Gv/nXp/378qe4tPXPT3v6KP/nHBP5kow/sAra//X3v2z+8mv4bquP
9uPvfkGuPm7Hx+6nHp9+mi7jr/4lKjb/yf/f3/zt549/5Xksf/7jf3yQY+Ul3KD9fLV/N3czJbvw
xf5fYzy4pN+e/vtypvkv/jmv+0D42NN5HAps8y9D+V/ndY94HmmOOddDyxKj/J9LPPG7zf83pzWQ
UD1hCMGM/ee8bvwOFE0wzWOyh4Xu2f+STKsLb17T/U2yy7Ss+dvl8KB7fwTK5qjH3+i03D9uKgO0
E/reBd68Ptpgd4VuhLPOiddZRkDa1TEycnkDsGS1xNE7gqZqqGXIy80YTEBPeSD3ei+sYzhi1GlD
+CYlZKRkgnUXta+6I2rUFeyhVe17y0n37gxgu0tQJeY3UiXBdzSPdadr2zGzdew0KR63LpveA6jd
n7RvutzbfnUtFAxiChZOXjd7RkPIXKlsDx78bpROViwR9e1wJZJrDmZ+rYyUiUzuhrq/b3DCARAu
XiujWdWjuNpdGy/bLGUrbkz93mBwa7I3wzigW8mlXlW8/ZIvYPS887v4SID0UM0wpFzvgP0G5Wei
DTwRI9ow/Vy/E6xL1BS2a7dDSPQSq98XUAqODmyINeb3cdmZRnfyU4D9kcsBwpI1eKVgbn1Ubvor
ln43i2f5MeuBi1B4RFdHwRk8w17lZnwa/j7qyU5woeUbyy1/RBSXkKr76TDwYTRmDKUPYamyjvYk
frkYstd97XG6cFBbbS2j9zYGh75TA0pALXVnQ1/FN35LZyZS/8qKxKTLoGqYFUa1HDSMK6HmvKOl
hggD0VfNAuIOyEM3l4ReJoJr6MHFt8KMtAyD8D7v8eNEFtbg8R4CGiwUhu5A5dgCuRNw7shPltfs
lOaYjH4E5HMnM0x4JT8dGPmz+OY4B7pyniEKVmy9UrkcjfrkpriTpHItFkllfgD5PM99br3VqVbC
kYayZZA4WbCYpSG0xr0nKQ7dqHaOigeFT28xKSW78zDiCLjRlNwYayPxLi5JoM2Em5PiPuxfMXW8
oi0eOt3ag27mohQSJd4ugdmoolvwlrm3I6uaiV0Xlj+7WgOjPX/OdXYqMvoEYXo9SVUDXlDWk6tG
c+sOcE2Ufg9z7COaTPp2RvL9VhMfNUxvS0aFa+EU5TLO8KFy6PIpi6EaPSR/APQE4h+1xM+D1e6l
UbKP1NOPQQ5iFSU4iGSabZKs2jqitC+hjuxkzgJUSOfTYZxFKeSvYcnV+qRmwarq3F9gVs5U8Xxb
s6TloW0ZaFxGrtSSLOu1iQq84bMQpsXiWMXBvovCFxOlrOzzn0SoZukFI189YhqrM+Sian6DywzD
e5l8sfoGm01Ai6B7bbJLtvCB2fqr0DX30Pu4EutZwONk0S7VLOr1SgFQcia6ISuayFD+ctt7z2GB
4NzqeNoAoC6jN3sWC1ESEn7gAo77LCXCBFuDDkQWLi9Zb6f3je5lm94iahagRAo3vHUok04gz6qZ
UXSFESwTk7RRMRRHBP6noSLoNCUlJcrNT1yCKahi+6v9Q/x0/JB5vEcomB57Nsn4x6fmSAkxzWdy
Cg96xhnWHhh1ojYD+j+1b+gGnCWbpNh4nlsfAk1rFkIU+i5UwNZtY/gZbG4SIMYV1WnouOMs6KZe
aO+KeTNB4IOL3AB7EHnAqGqCCOs8BMFDZVDO9VnaJ73n4x87lRx0FiCDr93gFYAxYzVCC3XIvFD7
20h3bvFUqqNZw/3oHP21C8e3NkRX9GtjWOiWy/o1ozY7l19N15h7oE6kdNjS9HV943xJ0ZU+WJgh
Q29GaeO1YUqw4AJgNWBy4JgYLZJ5msgYK/CDPtTznJH/MXD49wUDSIx4QRbrMUlCRq64pyyag0zK
0KLHlBszxJh9TXCCqSbQ+gTn4fij3IQby+cipt2DAmy8EkshiVjVfpUvi6DyVuU8NxHg5dTNKGUJ
uFnRH9PVPGfV/FjGLNv3GD85Uw8Ofsg0XXfm9MW7mWPWPLm1jvNUM8r5VvootPCSMuJVTXQM6Sxf
Fwx/vK/lUs7zoBlkJElAkGwLlh/xUJBz5gyyqmX4yNmdFsDxkuhY+suk++xE+W5F6SkNS3IS3VPo
DmsCXw+qdra2NZ3GmM0+T4hTanFw6EpFU404jZVWrqfM/56okFhQybjtYv3R1yMORiDsSMkc0pDE
hjveOZ5x66ntG+HeGfHAGjiBI8gMQVijcigxm0F5rjl+1b51oUMEWdmZH9VXF6oeAYg7MWP2lMal
HOTNK+D6O6wnnySrcLzD5sth9FkB/YXWcI+lK14xbM/xSlVzWhq2DbuWinSN3hLP4zGYLapRPUXs
l+7+L3tnkhy3lmbpraTVHM9w70U7qInDe2dPJylqAiNFEn3fYze5gBrUGmJj9UHxwp7E11nULNNy
EhYRMsnpdPhtzn/OdwjH3XVBcbCWrdHXoQzKuTk3IAQ1mb8l0fhaztF1guqiCVhi0uLq7IMfdISB
9QGj6wDXbuO6EzZTgIV6xuVxIRgmlFGtqDu4C6b+VhjgrrjmeX4x3wyxQW3PND5NVUGZbTyfqzFl
dy0jtBlBzCUVZGBM2TxVQ3olMWU7GuHHXMiIaZo4cZeYYI+wd9oBLFtR8Yj7MT5hjX3F7CeTNqU5
XBmYKlDYuoCUGUCbsTC3Y1a+ibHyV21O1yqlzljLgs5rs7xj+63kMSMWtXZsuWPOdQcijkwSxTmm
8rdlUR6J6D2WNthtOzlMhVxT0XIKQWYFAIUiJ//A/HysaF5bEWJ6gPLyEKmMtr/4dihoeOZiBgYz
3UhiBpHGVUS2mzm2PspQv+ol0YE8f0rs6NCaycOEQ2MMu+vYcOhfdnaMN0642j0+YnI9jbyzwwZb
lGD5ojRm0vU1ncX3Wk0DLyotph3Ib43pwRa7IJpAn2DGSGCuBCRP62Qweempk/FYEx8iHbZalmxD
Ac8xsR7ceX6DYAqyWHJUAY/6pS657QFnl1r94toplUPTVm/rS8kg9nuJDGLeWtKOyRvYl5XzMTOO
6BN5SrL2WhuAlY2lCV2+3VjQQOmzfsIns6UO5+wATnNilkgnL9eTma3jKD4EyrhkxLKhHJTsJHXb
cXBNW8BZ6doFDvGbyDGJDE/bAU6MX/SbUbbPge9c6UW4T1p9qyIJzIB5ijK698h3vun8Sshq0TkX
Tye64jaNACJTGrsmwvvhDJe1JS/NWZ3LlPRnXfQHZjX7NCiPY2rvI0oSUiu6GKpox5wPehz3VcdH
9/ZFcTaIqaB4X5W9e4u/FpCQwGmsh3ttig9I2gMd4uq5iZ2v2awdRVFejn28zcnhBJZ7VD4U60JO
l2pM7wyt/FryCAaD/zVO06d5UaUidTlRREon5E7MFlUtyj4WSfFki4AaYE75lgNmtEeNEF+4rzGT
lw9jlL/RpspJRZlsQxDzinLbtsY+YJcKTYRSSj8v/eVe6uNRhwFDGRNnZNcYD0VnnjTp3HchgUDY
qazD10g8G2qfLtPZfnRonRYyvOlbFtBe7qq2ecjzdK/iagsC+DKVREH60H+PmItHLr08fv8mSmtb
jqmXDzX9h9MxbvILq9Y3xmSyNk8nxnSHMJbXBu3jI/uZodXAccgQUG+6BwZBDqTud9FEnfGcQlHQ
CmzXaNetfRUn/sGlD68hzyCz7DYzxam2Ewkjtlgrs9jVWXPdusZbn8QjEvRwdmqOqn4D4WSy7ulV
OzVZfamEcyQeXAomsEFOLqPYxVp/OWkEz4zU66fLtmNbrZPpkLnZRvXRKSzKWwrKmXyk1RoLwaGk
/jEB2O9QjEWqa99X5UWvNfvWZVanrGM2upNHrcpa+QS46viktTwihXZlK9ouVLidS+0EVG2fmuUL
F4+n0Gyu6A94KPOSws1wh9HpSuf3b5cTIMPpUIXafU2fLPHjq042KNzUrDZj84ZX48YJKOObqRvo
+gMO9ufRKq+YoGJwbdodNLYdTeErl2fPq9zmXVAezkA8vy1FfxHlNb2zy+Nv5AduAKc0KR+ycThR
0/7mpGhEPhToOJvvg3540pppWpya3yprOI5Ol3FiLL44Pk06nHteSyWOJqHSqu8iT45C4cOSBqdQ
55G2spPTUjnnDxpWrzri1G2UF3OqdrLUDpVDE2ACbLYtj4nT36QqPA9cK1dmNITEv5yrUVbPCmzm
SjjyPW+CG6xSqCHGVnP0XaBRSQN5FrgTxM4yRZfzC6I/VVa/GAOaUd+bFL7TKz7p3V1oOafcX/Jz
CEybGmH6oCvrRWbzLjdG2rY1eZcOxruEGtpMYe4ZqGPrUldf286+tznorrKJOU08lLdmw33E7+oH
dCB94xtmy5JJthYHmPKcIpzWGDgfhAp2QWhi/R2ymqhXw9o8Y5cFTgaWusQ9y0gd/50gHaw5VrHD
Q2mvpN/qeBRJptHwgR1WA0wdu8OFbDHHYqVdtLHKo0idtJSjXaepflMTENwGKdTHIEMNhOp5cvQJ
DFzc3wM4RfDHp6sJGydZHYEjUFq9Kk35Oun1A5G/BGP2/C3OzTuSQDeqitD0pH1v6EyWnN6+ywPA
uT0zPZXIN1m0j9ypL+PUuAUbcNnbzZ1IKd6hvshMnde0a2H6jdVRo5uXsx8wNeCa0TouoEhkM6aV
Asx55KYvfZPBGB2xcqdB9k1F5le9s+NLNId4nWH3JX1hXKCIXurMJcKgP5TDfGEuQ6LK195KAGpY
azdRNF8GA51oTXyQUQTlwu5uxlF5fDXOesP1NEILn5m2I/et7WR6Kny9vqhL4WNFD+pVO2jFVjH7
WKka57HlJO4qxVGkxeVRDAsgjKKlqD6ZmKKGMbukjID7fd5e24CeV4tWLnMDCnpG6p+JztEf9GMM
9xGJfUcbnufkjPtRaK4Du9mWQ7J3uMLOiThV1IXYtIgUdfAMLeaWW8raT6Nbv9b2KmOeZKpjESaP
Vm0A6hy3I+flXNT3mmju3MRfx0HI/TtjP6u615CgYeGPl0Pa3jTc/PHlbmmY2qShujEyzFVNdFdL
OBOip6Sxq8499k+olPWTE8e3Y+LCaiimBzHQwmS6+U7vzYgZyESNt918xJHV7qMKmqgwhmrnB9pr
ItQHJ3IQyJGA+ycGezs3sgekXj22Q8O5J5nqm39fqryMvtVMAz/an3XJ71rjb6Llf1FBE5vgn/sS
VkX6j//Tv9R/IITy9/6lZzq/4DbUGdIiaeIRkT+YEomdUAOhXEOS9qARAhnxX3qm+EWYOlQhXSw+
AyTIn0yJyz+0BE+UJAeu+LN/Kbs3/1QpEYX/FApmGL9XMw0usJTaY3OEfWwt0K4f1UynneI2Rs0s
M786lLDa+2XJoXXPvsBy4O9Cl8EhvT4HKTLktp6rbyqCkxuwu0r+JjBI44ZESw9LL2uRmep4lWOU
alr6upV1T9QLEqA+Ui7mzrdzCDjCZLyZKwLevv0OgbLeNX5wO/J/r9oWRX6aRoo8MFtt8zC3GJfm
Nyqq77pMdlzIMPQmDpG7hvQs2tCCtkKYyozwrhpbatOnnvMN3iE7a6tduIBBspbdYh4Na9VX/Zmf
D5lVMrCdwVNVi/NpGtsdPL5ua2Wtexos+B1zO9zJJCx2pWo/fNo7Nq7u76rCfgDV7KyA0p/i0nYv
ZgqU1sVrdNUONadhlvkmjZ/5NoPe9sOPRGUXegxDGFPZazpAD7RogNUZAnENox9J2kazAYjLOMot
Xnu3PjZa9aWzksrTySAcM/I864ij43qWjMFBCGLSl8nWinXzkGQdbv6lI7jKcOn3uX1VW2HHUY/6
zXGt1zrDI+EVIKTXpQqLZGXFIKan3jY2lsi/aWXTXvaF1u5gauVfJ8wpK64tICf6IdjkU6M9u3Z2
1kv3hnzrsDKlqjcaIzNV6eTn/YyKi3QfCWMdyelsTDNWL70igNFw5qrN/KqI/Gucdecx0Z4rn2GT
wcH80jULx9N7nb74jKN9wDgF1TS7iEqzJL/J52Ho9jmbJLOrmJOyRUeDDSOoqUqyI0b2arEprtoQ
UC3YRLC5puPc2I2BRTDj6YHSQEVna6rVSNIpIvHEzJ72uCUE5S5xKJDKSzEBIIHcqmNv9gtace34
Kpj856Go3qqmepZWU3s9SatZdzYUWwlkeMb3E4ksQTJLuMHtjMPbNSlzw/Hd+7m5h9jQ7osqn9aT
Sg+gtT+qYnjrpgicyOIbbzCQu4pS5sVRHgzfzeXYzHvs5gLb+YT93NCHEgsGqjL1jZknaXSwcgYB
QTD2O6s0Zg+NzfacxdVOoS04/FhBcl887/gssSh0HRU0kmd+GLHszC6evNp0X1rApLtmsdMrvf+S
mTSCtXFTetOijGZJ9DI4kQl5F+7SqJ8hy6KiJma8IX+NHm307opODwihI+IfSchHXKG8BSs4aUbN
35OUjAfItc40X1vcTclaqF3byruiz+A2tOldtmi9cZxfOov4uyTwEYMHPbo3FnW4wGUw1Aq5ZYiB
AC0acpGgFfTIyklT3kxlAsFmlJs+1qVnLRo0DRr3alGlmxlSC55PBZGcmzk5a6hYctZ3QIwBR1BL
Q/9rRWBG9AqgfFpsNLNJtwNd1Awig5QZAwq5IXVjG9WkbJxFQ3cWNd1HVg8L8ygWmd1gFeLn5BBV
6sWFhRhvhuOlz6gcoxVSvbuI9vki36NHHPNGv27R9aWRwCWPrvtF8IcT9aZpOsxxTgT2MhSgQ1tc
xMwJ7GVgoPlQXAqcRMEyTAiHkQzUMmBo+zRbD0iVlCQzgeiXWQSMWLIe9gzapmgkaWpR4G9VNSfk
4Z5eHyrOCdhIrLlAaTxjdi1wrg51gnH+XmZwWokVliu9cg4IDLcE+2noZnSCI+prssxSVDcjAC7z
laSqAcIvMxeDw7nnomQDKlIwUlXmXPTLlCYK2miDsKqOyq7bI2tfuOmXuY4+kBJh0FMuE59omf1Q
x/3KoThdlYv4VTIg4mx9UjzkG2qSvsEJOcA3KryS+Yvd1ZwyU4Q+WAgIVfn0WDKIUnX61PRuse7j
8gyjYd8zsurQpDaNDB+DZZqVLXMte5lwJaqG9cTMy+kgMoeWe1knLQrxXDyG30dk0hDV67TMzThq
1vsKE90qq7FlANbA4tFdFTbSmr9M3aRvKaZ81kW5TOQobCXBPY5cjxjXaRq8iGV+B9EcJ9Cg3ZqG
y1QplNh1AypbAls/d8sEsFxmgfas5XSON8e+CqDoLxNDsLiM59tbl1HiNJXhNl+mi/R9ExoiU7bV
c4DXhjLKte8CKCqsQJAeK2mmd0fuFIqGutSgppjn9LEsfKrDUQGoYumejWGmsIDOGA7X9V4DFcmE
X5sumwj9AJm7Wc8cATZ61bbHiJvmhZ3O3/JB3//PcfGn/Apnuz8/Lnov//i/f3hY5G/9dlgEEOiS
CzEdzn6fMsomE3HK3wxlsc3+mGCRxJCtZb6tu6YrGExykPxt9o3QYUEc1B2Ju9S27X/nsKjMT0hR
WJdYXoFd4rino820loTLD4fFeU5UNxkDHLMhIWNiNzr262UWN873hVSPeRZtM9uH01s91VpwrXAd
eVXFECUDgUWhkOWyfgIQDgxymPC1i6XCo4QrD5tDOtMTbccwvMEOr23Lvy3guW71AH6nbkaUNsSo
pgR9mEoRnB2m+tDCZ2Zmcd0NJatZkH2xXeT0uA7pyaYq3ZNWYmzipM2/4C0kbpLAiEdBG5gbLiQZ
R36MRRStKaa3rkch+3sjMqKbUm/Kb+T/4e2Rh+ytRHjwpom+FFlOdwMnWH9e8GmcfneBgx09bEbA
p3ZCvdg0dzsVY1Rxmuq+p5NiF1Zpcq5H9SHRhNcFgzA4Y+Sayev06xB9+cY2M/qXRkaKdEI++wlX
9mJCWyM3CZ1mLsVypabXuwBMDubbj1aAmI6ywhKnY2raU6yOMGw0ECvCFjQPhC44c9sar8wmJJUC
4I6EJnxHSk78qVjLBIHFbrVpKwKUwaEPAf9ymPVqZNaVQjq51rKM2aioJdFrqXqvrLOLlDYLzyoi
/UyQCFia5WiIcybt9nr7RUJknHJmUXrTDsfILr82ia6tc5KYq1gLngJbrgd23mOnUxmH1w9ymUkl
bR70r3nL/NZSFvyvuT6wed+IUDUk//znwJVr+o8PbWqeaunsh4ZOhpHupK77ICT1lqilnmXEMZsW
D2EKyr1oe3lgJt1/M0UbexoKxZHfz7Czq+Fe9PQypFaRM7WQdA+HYthw/tV3bVnyc/bsNaap2hOX
OuIz5WB5OR4miJFA4ENRqWNoCZoJKmFu2qhojlVWnTK2hVNPkRYyrFkxsgjyfTiU874dp6ewbN3D
mDXRThZo8LCFor3tpB9UUbxNEsfu98POVAW4zQZw+gVCppcpKC9d3aK65tPSilaeyFITKQyOYahd
qTnYd9OIsZFN0C/MR1tGxKG1nWVrF4rqD7dzHmPGc2NtnBGVXqeofDJkck/C8qSPmHzdKbou4vGu
pHKpKQOxQp9c2DfgLXoCqwimtAEZPFlmnd1lrTXf2CrCiQKhB9GFgXlumg8ZlUk4gGcXZFSWC86j
PliXHlKC12U46LIW1L8xXac1mqyMnBcumuitdj2fA118Uxjex7l98ZPgqbJSkysiRE4jlpxsg4Kp
bzPfZKLUEL/ChznvbysQULBv+I5FUInp3CBXVHK6c8z+oJkEb6LxvtO1Y+vkO0yIiH7UIFR56nhR
MSS7QXd57srgvXW06RqOAPgWLXQfq8pMDomWvBamOCYMwmPqJTkoKoPGRAfekcghH6ka64ePSTDM
SrrXUfLyfowoUi9a7hP6k0EUjpmoonGrkwz9olfmRd+cgQI1U9LKMhHOXp4s7mazWClBA7Y5aFfx
mL91xNC2uvIxWNe4pquGMXig4/7HyIhA24uruHaCVU+Q3zYLKsm0ZPEo2+WaQC7VfAl5+zAgaUdM
6FYsJoEx4nuIXyd5CJMWlXHRwqwuJQVHIIm24g+adf2jGZNGN5m635I2vohkxvQ9d8NNWU312bdL
DAMJxAKf1xbRMp1Nw3CV1sZtWNO/oCXGFSfDDBspLZ3SBv1qVkpcSTl026bzY68Fy7IqI37raat/
7RAsR7ugozqZLyyZMcAgDGCY7kn2jrho+1Btky55t/j1g4mI/398df+txSp2/T8/fXx9yYr65T+Y
B+fEZsr3PxCt+Pu/nUOUBZLWlKy5MH9+TNLSn6t0+kQ5pBCMhX/ym2ilflF4kQjKKwQrk143Dgf/
OoeYv+jC5DvFn0JbJmfr/DvnEEv8/hxi8mgw2LGlyYFJorj9eA5pnayyi4xBs1n7cgmQUdxtJsB7
M7ab1A0PUIC6a7UYTPzInT1H0oIZTPU9tgUYR6EVbzoGeeYQmsg4RkhihexmUjkWcQ9Sl3ZlYJNi
RYbZgH22SaH0p8W7ORRnufSJkmo0r7nTQ3Oyw+KgjcM7EZ07AA34+eISi1QMZ19wM0FkYvt0GvUW
xgL9gVfQSBmuc1bErV5bBF8C7Ub3ybWLXGqX/kTecgS9sSVoma3GmhpgIWZuAtB592Amsx12Jspl
EHS5xkzNthlz+7pXjeFFQ3OwZ4zEqrahvFZIGE0teatN2np9bC9jekRnp6tQzkK77Twbn9CGTtIZ
KjtfR6EXX12Z+4R7TSh2Ij4rO/wo9RbzoHlniVb3FFERjzvGtMLWfRso+mtnJckgTM86VgPWbrw7
sUsnpRPYw163JRHJBS/ZVbTWuxx0hsJ8idRc0vMWMvrXJCC8Nnyp6oi+m8455x3rb6rLcBc1YITn
0BWeGJqU4whERT6GCcY8ukYeGcE6zgNscUlA3DaMnI1Q8bwyKjfhH6dqTwRMiOghHTnhWYAxekXt
gWvbexTZ5TafYOg19C9V13GDbJMXCz87MlPykiTqVdn6A83kb+FQP9eczle1Xwk60vRkz/n8MYnd
cqu1qDS1mYVbNwzsdZn68XXpM80LkwaWZLS44lULH5l8yAYgGVVKY2YfW72D78Dx6kUjJbVKaZrz
wsp0173hOzdh15+zcb4aAvCAsVkXp4Ia0FUzYsqi7JyPXetTcJDZY+J2Z72oAk9U9j3isrOOwtna
GyO19yufT5VMxk0SZtecf+7TNrsKNHhuVuD236+YuPXgzbTlyGPjO1ANZ7V3XOJUstG/Mg2/KLWY
Kit53/vmR9aGV1Puw2uzGMW7CX7UJnmgJzK6kA4HsKDOJR01HIRVQSVYHMbr2o61bSDLm7mZ2kNc
k8U0NFCMYVqUXmCgcc5h+k7WIVpbOvNkk3yYpw0gT0cISBzgg20+zrVn1ZRk6pzcWkLtSLfpoxWn
T11hqd3kO8V1KsnhDqRDOdS2l3KC08FVVsQIpsDfx5Vt0AKosfmtZz27RCQ+mxBHV3GdXMQDMdu4
xyLbxlGwbbvs2e/4DZRNccyi4FA3zbXAfXK2DR8q99AV267ML2QXPQq4mqsKWwmmro7FpbvqFS0v
TtDv4iT6wnwdW8rYQZggltOTKAQl0V/rFZgkkvv8gjSCsk5IO6Z/6loiaQmnPi1lYDva9SFBmPBw
6MHYBie0pvslPYS65DScOxeBcFtEUvrlyxIFNXOdB75aqKh1sqCVMg52DD0rEwgKJYw5oSVAxoVm
fwFOaWyqAYIALmEiAu03plU4f/Im8nIQKNjxxEyNX/fR1YiFTsl4dMK0RycPgkWUleWW1mP8sbN0
11VNvZOwtBFqS/w4RFiAewwuq8EpLWpq7XpVlTarLYnvLbl6vsCcyPk6xtpOm6cvMJ/WuRWfag0n
0QSQbhMZCLxWQxejbkEjkrXPrLjoDrPR3A+6hSshNr7AtifblVNMthxXRTI9Cr97pGGI04QfP4+2
9iJ14hlTMp0LKow2dE9n25SqQPxAFRVScXvb6vZ4OwAg2OaOlq7pOXIPecdEfu6Ch2T0U9wMjUXM
Jqzv6l4z7zlOkpnQdDYRGDcrw8mf8D4xK8YExPuFXJzy6D0NzA92cTptS9KlK90uXfg5Kj65Zkat
EvPfVTTrT8TgH4qgurU6e8E0mJ6siQYR/FxDtoQByHgPj4NVUTULMNXBGwGsyI7goVvMEXweJJWY
b2WXq03T25S7FRZKPDXAntTSb0LUuMSpJLO5cqYp1MRpwgM1cf4F3eNiWtCcmzjOrq22vEfuAQue
ZeZW2GPoFR0FmTakPvJ+2TcjqV8mH8tyN0QdW6j11AQjvsjB2nJTam7HsN5Vg/1elXnqpaNeeUjQ
922OtSsdjXEHQ9E5tJHUjgD3xkMo9H6DCwgWVWpzKAxZL7QhpsfJEFzwkXfX9FdTjVpybdO14Vwl
Rk+lnTFS8o2nyTEE9Ohc2yaTsNZBTfDDH8W9GVWki/LR5tfVzxdNKyBPDyBu4slYmuXo/A5n3QQh
NIq93RGegxjW3gIWwLGs8l3SBca65ou2TqaIDbPhGgBTdtga8Ujcz3VehjY/1Nj9qF3mG9fX7nyo
eyilyKxfhd0+u2GF+1bnm17AWPN8KyUQ0AzjKWipWJNcBFj1UfCcWjwTG0E1tPCFAY8IsWM3r36R
PlvYYUEBwAUjjbmesprg5sCDNjcz0LYWLOWUmeZdUhQjPpLGhAcS0BizFCkKkdpHcCAsuSmYpdbi
B+16MwQASz+udAoq7XzQtmGEQS+21TNzx27P+6IPq6HbT8ls3IQZ/xyNDyGXlOqamx2/CCjKTJFy
VsaBp2aCbkgs1Y5valXB6JELOMtS+3LksyynnvYTiTs3ZZPEHWCHV34MfqhItXkHAM3a5ra4nQYY
kpOPmyh0EtBzcLSZXCnoJGP6HjqNdl8N1eUAeMmjQQake5TKyzKcn1wfILNMcnDaZAhJ+5N++hhF
39LrSiMebxlO0OKGTWZD380KiK4usxMVsfRpaFq20lN/E2Cs6URKC6uDL7CtDL7Hmr/00vqnRJdH
lq3sYEb2HmtI4PmscFh8Mfrk4jUbgAM7Jg3mfvWeWlq/MYfaPzRD+lJOOZu/pbWngvbTTVSxHouI
K7XANHAXTuYxFfW4ymPjkMpwr+zkeiIyu4xS7oQZoCPPLi1sylqLLsLJnA83HYMeT6uzPUDab0gK
B3esr9JS96jXuSt1OG68OEtJ3j1j3uLsiokQi2WzCnWBuTXzDz5t5V6yoE5FyCVMdxi+1ixJNxbo
CQ/IHL62wfjy7+u7/0UH/dxi/vzutHtJ//Gf5UtQ/Mwa+Gfmib/5663JcamMYcDPjUkt8SSHC9Wv
0SVX/qLDIHBciLNqmfVzXfl11C9+gTu08CUZwqPOuz9wBsQvhiAKxZwfb4ABxcD4d+5M4mfKgMk1
jqZK/mNxDth8x/nxfrwyWWbVBuwsDMw2wZ4R/j3B1x0x5B1InHvxT2vIn9oKELF/iEj97sW+399+
0InTpjToTNFxBWJpt7+K8SEeb3/4EH51MvxH3lEdHuVt87//189lYstLuLrimbVNwV3QsZYr4g8v
wSCv0yzobpu6OWbTgXWV6f42yQ5//TLfr7Sf3svPL/QJz6Bmh7BR6uqbKY20Y9eUD4y2DFLS2WNp
9Bd6Oj3wNtLN2EW7wKp3ZOGdY9jX0ZrP4j3vjA/fx/k21ANJI+ncFaF2kQUNFbjp8M1N+5swC+Nj
C0CXCs/ki67ZNqgApLTEsmG/GSEWMVaWJK4LgvTONl0G37k0rqBFbzWNApQIakwQjzdj1G0jUJ7j
jIrTF/fkcV8dyGVEMR8lf25m9daxrT3Dh10lWJQ5PDo3PNHUn6GMwncO15T9ZodCM7OnVoVgJt2n
3PLPKtKvza56ziNxnuho6dziijPAo5qJCWlzQvewzclf87tvXWJvdSN7CwYG/Frcw2V2mmzTJBUU
XfZbY/ARN0vnXZTq7Pekkh2qKrYCbxihsMpcuRgLPOSMG6NsXrNguLA7rrrx6D6T4zxZPXRE4TDR
o9vsXAzjPugoGwZt/zhXEe6ESWEHM/Y96Q2/MrdTS6h7yA6MH4C8983RKGk7Dero6Ff5G1E2dujU
2bgTbNFwvIfq/NItiqitArkG/Nxycpo/VIhH0bLwoJtbUIp7IZ0P6fc4cWmOJCBUatORNO/BGPMn
e/S/AFZ4xGHSbjQYEQQj7K3SFEf5Gtlbi8X1ZJvP9Bqwq3OJ6wRXusa6pKz5qiprREUMrQND+TEg
K223nhb4HuRCL6DfVKsI/IWu7oXUu+0HufRSEv5cXLOvqqbNIEq5Fsr3ztWedLThJpHPRHfxv2p3
7O13ktVoZaX6ddRr5GVVswsGLJc5xblz63+VwXCX1jR6UKCBCuoAn20yeWUEwtjmqXaV6/Z2wtSD
9bnzQs09EDYHL9C7FodzOOdWREg59q8nE095ZaBkTIfZUTdilJdzVH8ZfO2mHRgVhCbOhKbCcM5/
iQf9xnUqPP3gwU6gLa4NWkC4mXb3+PuO3GKP8UAl/UgDNv4jdi8zgohRVI+0I1zNVf405vrB1OPb
OJto23BovcABoHf1sP7r5UD8bmVzcGOx4AgbrxQi17LM/rDsoIy7eR0LuUG77zZq217P9GWs0bzX
2Dj9FSXBW8VZzPub112W599Cpyx331+XCjHFVE43PvfaWZIw+SApBmcl2UgPc+u4Sjbz2vDATwRH
whqPDJfe2q/lbh53f/3iCzf504vTnsjKwOZlKGFIdr0f37TdToPTpd8rPPiK1OIhsWuwmH3TbOyZ
g2DkM1EZ6ZPlp3JOKoxHEvhQGzV7N8/qoZtMWLxm/1HWJyNDN8P7oTKs/3Pkb/CKIN+XC0U3WetF
9jy7ydkwu8cq5i5ZphHiVmvfy147UrQwrf76rf1uF2H3/eGdqU/uNzvXot4JcA3H9A8TCiQEAx6A
WR/FLH+zk3zegU0bCIIjXJOaUYa4CKw//xaN2u8cp3TnTbseNijuG6I4h9nDOHya9sX+r9/YosT+
+Jn989VM5sLgrkFHOJ/3xyGYOVun82Zpb03ujGN0qt3dq7qY95IKIw9s57A2vfTosNPg5vibZ+YT
1QiJ2LLIZEueGAqlXf7nz+82nSkjzysTbAtZnjYk9xJzhwZfAWhMA15jlkOwiCUfJghAS+I7Bpm5
14gPjixz36sK2uXYO9eAJ6C8WqG8n/Ks2M6hLTY+F2eSyMZFpHMC1qGerPQEUAvO3JjGkAJYCHd3
IGqvTC2NbaLRCUfsIlzh96Nfx8+e6t4+9P6A0dYWbwQk4DFq5BdHv5oPVT7TrdxdNKNxTofFejbm
16SVb6DZ4r0R86NuEPZKVEkekKqVIt/X9PYS+onOOqmb4JKF3iQH9j5F7UmaDMrGelOrrvqbx/fT
avTrL9la3KK64yj5aTXScTdapETFxnZfI408I9MWuun+5lXkz3L78lniO3AgZy4MLayqn45AsrWp
aYuXb0nD3HPF6PGL2OIh3Lkrw6O8e5996YgdZrvJ2GhHuccrqN/99fP8/Xn9YQH8/DN8bzv9YeHN
AvB/WHRIzYBWTjDLaOU5VZTpBO02ta2jKf193s4HWSwjx5hjJZ6xzL2ZmteIGbE+tdcjQe0uqAja
g3mzkkuFU6HG39f6AjBlsfMphOlyTFdHP/Txgh5nrlFjE2wAge9mjD8OoEGLZrqZO2nTG1s3agiE
aydXazaaoCJ5fIsRLrWl5kleuRxL3ZgHU7lXE5fpLHegBjUXohngfcSngVFdnNfbUH2YKGk+1tO2
aBa0uReaYhtbb3FRHUCpL4JPtNMZkusORG1zl8RY8StmiXyhouyYYCWzI/srxjhcPOIpku7RNPG3
6ojspCX++pMQyzr16ZNgPKTzSHD45pn79DRMRjThVeQmUa/p/JBe6JEqDVe4OIftuMEKmGz9u7/d
AP/gGVyGUtSTMXgSWDp/Xk/GGHKMJmbJOdvEmU8kAemi32sD+JwA3oCifzHGfDd7Knz7m3e8fI0+
vWMGTZKvGPAJl8vYz68dzZXGVKebNzBdDsmJg6ynHyx2e//0923Fnxbu5UG3pSUh1XL7Y/n+5LEh
0J5bXa/0zUj/kKnzuMIvM+LTOLt76Gq4gce1BIbw1+/xDz5UunRcTjV4yGDyfXrVfpzLYqpiuUkQ
Hsf8sSnm9V+/ws9G8++LCG/MtRyHEQsugE+PTSGHuc4r7oRtdRg4v1N6tfLtB+wCIv+bR/SP3oyt
sNsbbLZ4zJdl84e14v+Rdl67kWPZtv0iAvTmNUiGVchLKemFyJRS9N7z6+9gVgMVYsZRNPqiUQ9d
KGgH3TZrzTnmaMYKOjzWPkV4HBFfx8rNhWuZf+y/bwQYamRWsqwaHNpVa17ovo7QIST3enIc0VFP
g90LQfZIteYD5RQig7Q1N0IZwdgLsuMgas+wA9g5p0+DR4AUYM/XkHp/LgdUzvv8Ke+n1AFt8ZD1
hHJh5afjp48fdC6okg4IQNsKF/WoxQ9wvTrKgVp/XYHJX+VW/ux3jaPo1admjnvd8HaqEaaOZQp7
4LnXUgL4vI+xJRn9VS6iPid8CkFJFV+HCYe2hhowXOtiA1j4HZUsOJ+ZFgQpA22Xb9jTgMlS8A5T
JWx8qQf7IVY9C4zsoDZijhdr08E5mdjIlg0XZm8AHhXLV2NiOOmCj87sDmkI8FSJ93qvvaRK6O0n
VbuHVD5uBExa2I/T7sKL9vXp//1sFrtVj64DGihdhWQ4bGELcvZ8/f7x/+kv//34TajS7MRVZsGv
j580XQExp0J8uRxvGuGuSV9TYCgDC7za31CPJLkPrK1HWOxr39MHSqND2vWrXNRXVhHcKkC0VJ3E
dZMzgwKw3UzxpzekL/1UyuzCpy193b7/54agAuQDVzToz4tve1CLNK87TXXbNHV1VdgHU7mrxHw9
QnobCmknSSEG/3yTIIoJ0uQfgOn/WQySzn4sJ+PP0+vJ5+gHUd9praVydukcLJbrbvtu3FF5csDz
2rr7/cM5f7kGcwwWGkmUjcXDiafRopEko6fZFzt4kkf/Kt9pduz4l5Plv07W/7m1J2PN7+LJpYmD
kNW8CcCPnWJHKBYttjVYNCf+Tdttrn046Tr7Lf+ihrMSnIuL4tk7i+BC0zkTskFbPFnL8tEGzZfa
rcufsuvvKfvuzBX6yvlynfbCm/T1tPSfqz0ZbvEgc3FoC0uc2PmJ0g1ZJEehxrbnHynp/BNp9H++
M183tn+PtHiGXis2asIE7HpdvukaMnhxmeqjf+GUdO6CELRYIh4s1vXlQpEQCpQqzPVub5Jdp/0s
kAVI9U+Riv2Fl/LcpHQ60uI4FIXE8UQAeVz/eXhR1tpVafuuyltpmzfBQfodvBkXpsHFCfCfe3g6
5Lwgn7ybxJrGBtBWlYovBxDlYcD/YCNj2MlutK4OIQQbwJpO/Cg60/Hyy0ltggEWsySiZFHHWoYo
gNX46w+IGqOnUCbrrp/hgad69xZNyFkIEsK3m1nuJP4BJ8Wc2gpg14F6VU7QNawiJuWb9rEhKM8V
2nQAPwTgaWlEGYnYsL7UbqRev/bUPqPTKRAw4k3rwSOgLgAkO6bmE76eCFGf9nPKxg+hA+qpZVAq
OlXgpDs1D6Qs34xiA31CnWOmMW6Mn4XW3YH03ivycBQ7yyJvBSXMYODIkYlPtAmovRIK79Cn/Fgj
iYnnrhWn8oUdqUr3SAURC42ZDotWexkalPgIon6EsfS7KDVwh8FtMIx7K4SZHgvjB2swtTnkgSP4
Q0HT16qZb1DswwyAzdmE3Z4kEbqEWYn0j3MPSwW3TvBSi8pzj6WiiSX0zHriUKtiH1EN5rbspA2N
IJEDNgwCQ9g1mbZrar/mXyDS04boNhaCdSTCriV3Dpi7Mexif/rZi6hKgI8A8JOOErU+u6r6nSTq
d1oT7ozG2BB8woLFSq8o4Y85ILiP4VSkdKxwz0Rb36zJbRXrn15S7A3IPZMwPuSC/zZghOlSb6N5
8k0SeY/92GI+DpX7vg23JKa4cRbcmWEBE9K8sRTpDlcxrV4ppGc6owIahIJecYhMD21JutGJKCA5
G+CsldiN1ZPLWCl3akWRtEcXPjTNu1WkczrL7KgLg70qSK+ViFiAuv0qKvzbWR2s9fKbVFT3WVPd
kDT0M4fC1uiPYUEbnYEstXoYK5RDeqvuEVC6gTE9NtSY2dUN4ksCiylj37mCrkJrTjn4XnIFzs1b
9V29S+rqTugxdeQANCea1Ag3G5D1EwFNkQUGTZNj6lwmcupCwC4iSNi727y1B1m5H6KYDqwMlkcz
o7WmtU+gdtZhJDxjy7ohD5bXpaDLyle1HlrCW7Rius9aTrEGuWCqta/UcqNK1GHRVG6lGvVFASAI
05e25r7Atu/bjZbTX/fz7rMfgb6kgnaVZ+2EGkrj/GoahBiDe9UG8ygO6xahWYz1hOpwIIU/rSDV
wdH3AExKMijpTxykPFtrRoZEyHwAnnHoGvHAxvVKV9U9r+3s/X4JS4Q6kfFUKv5zWYxPvTTedFg0
nZ6CCcLv9K2LBgS1CuSTYCdH0gaX0V2hphJfVIfVJTnMjPiVMFvUoeAPpNvzy3q5kh1fKj4bIG6r
jsSkdZNFs/SEOl6oIVYjtY8Wvi6sUNgjxI3bDa10Ypz5PyBxMHZNH5GutI7mlceJJ71VG/0zk5Qj
ZbxjVYik4PjhI1AxwSHBgMaCrj00fY9JHNU/Wzzjvpny+kqAUBHMcFvQ1TDGguF56hTFDuPmPo7M
X1rtqyS2T8Ja49FcaWnBfx1uJiO6E5ISAF/SPUmNkbgoTVAUdelD5PcbWkUvdSgoJMFOdxxNWxyz
TE5Tq+ypwIbXeH/eEOBs5shg2xARQjdTisnQJLzeDP2tDEGcmgKiqEZPKk6NhYCjCuUheauJSxIl
ia2depX2GlTiCfWMYHmIZYr6NqibjHBoBGx6N97z0WyrtD0GikouVmCqe0PiwcgaqI6az2CtW4Ta
SiQaVGQGQC4iEK6JJFr8Tex6Tf3em9qPHmX+ypJkY5Uo5tZXI9NJpeiH0cQ/kKA8xfnUYXvEZxGq
7ZvIMccNB4HveTA/a8vYk6p2XbZCt8aopaxKQHlkgG49i4l4kJLtmE+SQ/5FucpUPqJqqm947Tdm
aA6ckZJXZQqvRZBxq1RDCT37y6Cf55+hXr6bk3njJ+reCrxfuiDtECOTS1UTeDvku5b2PGSLwo5l
/SqeTMEZQCKAG7U2flE8YCA7KCOSbUGR4QTWJFdlcoojpktfkjK9iStwdVEVrTH9OFEfBNCQkI2o
MsQyP6ILNob6UzmW7yS6PFghGtaiqNeCmIi2OUBOJOSa+0sAsuprrgfpYdUMyDLFXDziE3pBdYIc
MiueCsx6q7hF7ZkPoCHqrLovR613glyA0SIVjZ3OzUW1iYOroiiocTE9yfSXYCP4JO/qrRP4OB8Q
o151YQMfckjJpG7nXPci0/ckx689QfyFsP4pHIXangzSuEmTCBwjoIrs19cNrddw8u8EuRlWgcAE
ZGmAbgh3D1chuhpHNmp131ABxcEyTj4iPOlpgAnFjzTL20xPwe+SDeFKTXFNVvo2asQrkrHp6Uba
SzW8i5PMl5e1myRwwllwPjtjkkNBn4jibvaYWADCIFw5aD7IAZG7NxUIM5KY+K4NzY9QxlEwe60d
1TTiA5klr2jrfFsM6isFFpM2NFdtn0DLsmhjSgQe90Csw67ft8pwhfBkTg32/A2GSxPPjUchWLs1
UwGtI+7eyMy3eSX0yDcp32WZhLiPYLYJpfAulkr2XjWBOf6gwHoQSnIC+Vd6yL2XRGFLybVbVUGi
uYZSMNn1CvnzYn9fBcKzFolPPp4vGwLdbVHLiFkQ969EGQk9PV2xyGdb9S4Mk99wo7ZEVTmaiOpG
9/sV/kokvF5xw5pwi133ytQaCu4e36gc/Owz8UetkdiN998ea6BqUnubVc1dN+Y/K9T8bmTlRAIr
fbChfVs+k1bf2pVgEgY4StaKVkfjoM7W1yJGIkyz/JkgHvCHQrRYpwlWz6S2/Jt+XmwGSX+mH1tf
+2n2ovc9XYep7O8bglIdkkY+ItRhsO8f4pJ3HEAMmt3Id2MDItfAPFskOcl4/g+lAi7fFR+VWa89
TB+mP2Karb0jz8mVI/LPS4xCHRySo9m7tdJeD6DoDXEktd18UBXtF4JsREX+Q2GhpyUkgeHJg1kR
odDaGmBzH+DJFNbHvBHeqz68TWOyYT2tfh4KWPy5390B5r/VU5lbXfzuUpLkJX/PpOTbOqilsjJL
J/KIq62j5FESon04GD+tiQXLFKirdF2wwYxxW9JoB07DDCCVJtGLXvzQdSb243iLBmzbWf6VgNxS
r6Qbs6/uG0LjV0qp3/vkvaOE2sd6vZ6E8FgXtQ1pbdcoCYFmurbLfXY5fhbuVG4rxZrmva3UPae2
a1bIu6HgfpkW5nCLjOWVPkiHsTQIxi1YlJJpI44wmryU10BBaVbd0g8AO+ADhUWBYZIQCYgIk+51
OrbQFesNqYfsH5AXr1Q9Y5OUbxqpYqI1r/Vc2AWIDVI/umtq86nsyBSNC/owZXFjVPiwIv/QWt4P
yJkx1TOeQdr2+FBFP1yhjfgY2ugXjZ2buK7eBVrxKzOw8p2fVR9TnL6BjnicTL1H863fjWH6OsK+
XCE9/Wl2CAL5LJtBf5PU/F3WvFsj1KJr5pXBAdV0k9UxAQ3hFGyLiOc/1uGzH0MytRoDipuSXU2B
9nMErue2Id5FIfL3QtdStaExZPuFZzi6gVMm06TkMADMXWVFLeyKcNY7wnGsybTHiNghofeKa6st
nmI//WkqxkdtJCQ2GPWHEMIQkOpjg4zR7dXiSWIKpstObif36WdaS/agkb0FN1VwrbRP33N84q6e
A6dEnfgAdAYUmgJwoO11DTwC107MZ0q7fBbOa3xUYzh91GgrCTgI8UbquCDEAG94F68nI3wEAkJw
Md75nnmcR/Gii92nLOR3fTV8WpUy2Vi9IeTGJKsyn146Cs+10b+PhSoJG9hc6Q0uihZdGEIJjpBk
KkRe8duR1m2MNYmc+CIRBdoxMZA0mfZEw6/y9eUC+7kCEefSf3/AooxhlE3pezSlXXZNBLqKzJa9
x+5hYnu7Cjr53kjLiBSPRHLGfGY18Y6x1wnHC5WqMzWBL79jUeQAMeGZkceN6HvD9Yyf+F53F8oO
ZwpE8GOIhKQcpulYG74ewbOh6Gs/VBnCnl7IxrKVbeSIr5SsneiQ37QX6imLHvefmsOX8RZ1cS+l
klkWikZBSlkDpZ3C9XhbO8LGPAC28LflpdriuXt4eoGLYm/Ql3pKzrfmqhtzP15HDgHbbz31L3HF
1O3+F2/PhVu6bKyHEgtbrnGJCFT3zS5x8mO8QYS/C7aQT48Xa3znqignV2guPpcJSxMJPYynPbwU
Ow7DHDbW+ftgm+yGXC12Hz4vjjl/ActP9HTMxRdiGoHq5/NjHNbQV12arS5SdERvtuRWGyK5/v9e
U3PxJRSW7xkRyhdXvesRtZR30Zr+huGivnL8FxEGyYURL7w25qI0VXaNXzYeAwqxcOujT6eqRH3+
wmWdKS+efg3m/GhPKnAdO0Cgnkze+SeGBX+brYO1uhJcdvKutS8+J7dcE7jkfD/spWtblBo7szR9
uldYlOk4BTcVpYrvBzhXWfxyXYtZRSVFiSYwd68GC4geKflgIwJ8exXd+NvxOt9YbkUekM2pcvjt
Qye5cIXnOgpffsBimklV9oLqn28QQdgVe3vUUKZDvHSyEjYySTz2f1HPvPBNLGYazJCwMGsu2iLS
xgPTl9Z3ivQyhvfE4nx/g/8IKr75/qyFeEcwa8z68/Wpm/Q62UWPKMywnq1IsrH7+/HnfLtVJ91V
1+w1d+QuOdPeu4qPId+oZJN75+TIQt/Fw8U7f2FmWC7e4DJLDfGq5k6pthmo1RX1e9ehWAAUVCo/
kmYgnPTZ1z6H6E1AJvv9jVkaP+e+6+mDt+afd/JFJZUoWezKWbpJNeoLEChjuIXhC/XAdERv10RH
6kNkDQj/y4ShkkyhqQrK46XSBrVvUmkiA4/x1lCbVYrn48K1zbPBXw/9ZIjFJNiZcQ2FkrW6ezdW
k6P/9l3jWmWq4JXesrjYl6eK8x/SyZiLebAa4AFUnoY95nneHbTH8A7QxAqGv13dd0/Ghf3I2Qnx
ZLjFhGgpGEIGk52XD3BuSD8hTq1AJWrWx4V7eXaRPhloMQfmpZhWBGZqbvYy2uY+3cN0KlaxTQT0
proL1xe/i7OT7smAiylxwPysjIHOKr3Kdvq+3ZS25wBVcsPbxo7XvmPa/8Ml0t+krwJtVSSg+Oun
IClkhCZ1wy4egR/GpH7j7d5pPwB9XKU32WUJ6rlPfyYTIGLEliAuVTANOQwhYoi52cjp6D50u63x
9I+DgLpE8r9d37/DLd4V6J+DgeWN9tWnubHW0yE7YK2xRUeyGz6FS4LFs1PL6eUtXhm0DEJgRnTJ
ldiEfWwekMh/9FOzEWsqErlOZ6TxXtRyfEBb8vj9wzz36Z+OvXh7oq7Sp6jlWks/PBpWcTeK4wtx
WRe6quc+v9NhFssmdXyYLfIsBKh6+IRaDFMm/iCT+MZU2/X3l3T2KHA62GK9RJVuVjU9azqeMAd/
xi7TmUsupLiWnXFbGhemT6p1Z+ZPtD5U8FAqq9pSX0uPMUzzPlTcCjAMtvF12ihXrZBfBVZwRbDH
Rg8K+hU5gV3tY6UM2zaP1l5M176v2o0/GNemJb/Gmur4foQCHrBzQHUWnF5re7K2Tr3IUVQMxpr5
oBM2C5qR/JIp34p1ukPKvJ70cZcH2m0/CP0qqzQ8cNl6AL41UFkmPGBNeM9nIjeHMOzu/VoTMDAS
f9CmauwaY/fkpcBNWrzB+TD4tt8o1SowzSeESLlL2+cJbttLKyhbKHD3vlxfRRPKkzB6bs3m1YAJ
MrD0E06r38YwNoEOpDLES5+ClYRlVtZ8kGjZxwCBkRTPYqVYwk4iStNu4Rp7c9wZmHzNM5qVUJI0
OEh7oGL3IXU+9iLHEvh/U8w+a7nADalte0Pa1+qcODoNu1AnRBI05943pl+mBX0Eyrw7TjCVFSG8
AwjxjODICYjysUFW31fgevDpy5C+rbkP7dM1sCTpekrKdyWqaZxpj2aRH5WWKLBaMX6YYyQ8yklw
nUyReq95DRMqAv1VVqNH9VHS2TEtR7scI4gkPfW5KOh3EJW0vZwGH2k+3KdWdy/JydZXIOop0xXK
S8mOExMo5gDNaNBErA5CdS/WHAYmpXjEGLkpzBGgZBw9jZ61DVPJpi34q2tVgkgt/CIdHO7uWcuM
J7Gpt+Sss/Nqywct8GGYiEVoEyX6boXwn8t03afdldLWNTZ7shKUiqpWAVg8EynL9kl+VfdA8qYu
dHMvjtzIy1s4pw11SziAel3E1FfbHxWsykES+5Wihg+6MslXSZACXpJJ3zNrp1SFI+ihV4xTTtey
Yay6P8S84h4PPN5BMFD9ICJJSjZBpDz3WHn7zjsURbLJAZ5j1YbkX5P6oAZWTaO+FNYqBVNC36Vr
HTpxVA14VciIqKgyWXF9NCYNkVOYvORt/VsN5Y9imq5GASFZgUNDLKJbTfPoG4a/JA3jTl/iPqF2
fKQf+tTmwU3dlLcI/bcW7W3yI6aJOmJDA3iabgW+hkzKCHhWoDpZwrGJ+7uiYrtbCqkTWzitlKsq
bR4rwbsrMvSgZlzQU7SmejsEabQalOi1HMUjiTzUxUwiw0cVYA7d330fGXhTDJgQkgmycbDoLta5
epzydh9ngzv1FKZKI8WbPWDup5++1zvlWsyUfZpYd3MZr4Fi36jWjliMrafDbo/93dgMb5kK7j4N
5k5o2jxVRfemgE5YpRFUEVmuL8x6Zzdwp5PeYpUU+86XajNQXFwxva3vxSOaOtsHtbqiA7YtNpd2
OmeXKryMsoJWlE3NYg3JC92rxsCQXXUw7JDEgik5NMbz94vH/EeWW2HlZJDl2qFmapuT4+Q2UEfD
5GNOSJr0lALpY6G/Kla4+X68hab5n7qVghQFibEi6+pSIld2Re2NCiG34TNI+hWN3231S6WoM++9
rd0lIdXF8ea91sk5ZixqbPSQO/9I4srRkffKlb9PfhhA8u47t91hk9leuMZze+LTa1xsGJUs9mLT
Y0xqgevJCWwaqmRGsCcmmOC5ap2LW6q/HyM+KcCDyrwiS4a2uEoxTZtIHGrFtfjssAldg9gI7NCd
d8bS6BIGQryvM7ndPWd2FAqXPo757399jWafFtqu+V3FBbO4Yk5UTK59M9cpON2wWqA8nDa9w7pa
4dO69GlIf2px3w04b1FOHmtipHGrR6PstkB3zVCdNfjt0RSb16qnSeTLWuEgUjkI2rA2QTHHRoC8
VwRlm+i/5FonUoAA21VkIMw0wv5eM9mu9K0H7M+QbOZytzbEm5o6seqXPxtEV6tJ1+7iJHrojPhd
qxK3tqz7pMv3Q4jTpku61yKQ71Kkg6u+KDetjh9cKJCA5kQ6BNqs3ThoqbSZShVnKYKa3qt/WUFw
H6BnKLuZ6pM9aciX7HSklQ3IQCDWQf+UFf9m9GqHDKaflt5u29J/0ytoY0UgQCKNzFcgqNHKVOi4
c2J3fJKFVrgGfwuS9T5o430M1h69vyvqiTvlwg8EYVjw/X2ZRc/kcRd2Br8N3hsRumqO2afPDLr9
NRKCXqq1jVFRtfca/VVrp20fST8gWGervkUtJlVdb1Phf5wiQaLjGVsb4BxECBbKux+1yKyBdkhE
T6+gIcJJJUvWzgaB5L8A8bYlCOAtJHU7RCo9lZRuAAbPPKX7X0TKJ0bTzC61EAlBlHyGCjFD2QS5
UCShNjQMdwhI4g3Sjy7M74akfAh7gUASuuId6yjUZ/ymOkqVVWllPzJaa0Vk3YqWkdmpN9Cd1kaA
QV7E1qBRnxQcxYCEaD713dMok1lbtOEONElNMhjVti5IMncsi9duhl+XU0wYkaHdh4Flx23ymzjD
FPAADyCK6hvsx6Iztvkv0tv/2JPnYGza/xoBerWplChpBAiQuXcIimpdWBBm+kbpVsROsBNgAdR4
Z61Wu44T9Yke2CHIQEYE5VtbCG9ViCpJzqPXJBBN24PVGZps0Zq4gxjZED4jDjfZFF+Pg3/nd+rr
hZnt7HeOM9GUENhr/1i4Tz67PEj4n455Qbupdu1bsBb+1KrL2+GI2uzSwfSrE2VeK5hVVF2X5rVC
wXr+9SNvMUXnVa7IuEHMzTxtm+iLcYI4F+eT89f170iLY6E5IC8Z23ZWF5PcbhMkCieUSzM2uaP/
0u+/v41/r+xcF+YWid0hxydlMZoSSXUtD8i0Q9SAUvUQe091dOlRXRpksX1oE0GrxoRBxA2XpPNG
r6J1c8D1Z0/P5a33ozn6jnRh1L/PvV+vbLGdwKjRTlpKRZw+7NTcevq6ln5XpnzhyPv3AXQehluI
UNFUIfh+fTEKKcdlDUbSNWjQB4igbAV40oXX79IgixuYNWQLSpD4SDIz1qGc8EZArlp9/yqcObx/
vZTFHZvKURdiP5Pd7H3eVZLM7sYEF60Gt7EvL5zzX/tr2bQoKxnYnjjnLZbNNC4bSZUExY125bVy
QH2zFjaXu5OXhlnslQ1JLnWv9pA/75R1u+m2lWvs0/WlIufZV/zkahbzg4IzPxxkhimD8WaQOd6l
UrbJlelCNef8QzoZaPG+STly45Qd358K4OzDA+qxQkGz5jRwd6ljJs1/7buHtHjxyt4jb5qPhp5E
dBvYymF4jN3hEAIRMVEl2WTGbxOXDd32+3fx3O3EswLnETYBCbmLTRwJ8rVCyVh2C3oa5BJxGPVX
QyE63w9zRhWAy/5knMVLKGm4peWecbKrcIu+jSZW65DnuaVYdeGSLo61eBNzkiEDUc//SPPX6u/I
6Q7eNt8ReT+stN33F3bp/i1ex57DfTdoXJchEJDkgQ3Qfvf9x/eDnDmHggZn4mPaI60VgsjXuW+o
OWA36nxiW4fXxrrc4IWx+zVPzK7s/2ZpPHdZpwMu2uK1rgdse33MBWqgzJkQ7+Ko7ND/kjqc+PPm
Kb/HzDax+YkrFzAbFSZfO4YyVM06L6+oA5XOoKBbRKxaeRVJY0VL+GSHyAmUIWWteBegettXtfir
6nWk74TZNbJGGpsWvEk1FvGSNAkEnKGdyG2DGBL5mjnhcgeFxQZd3mu5cNtSKHCT4SGus/epUZ4I
BV/jXsANnh1EtLv8Khh5CfZVhHTkksQEzqHkWRdmdJArHw0aKGVrrj4Sao2RixRAHSk7uN4D0TMb
6oC/KkVBOFYfphb+iz85mVgc9Eq8zUrP0ZCFEMFWu3k+uqy82xlJaWELjCRrWxL2Tq5wea2Him8P
4ahvQEse06kyHVLAKPbllpMhDZxFq8V1BD99Bz+YuQyuXjhEwZVS1G9JYXymk5+6vueptixlzxPS
KWdqzGcTY73bG5CzlHwKAO0N4ooDDi07vTUo3o3Er6QJvklgLHadkZaWZFQyq7ioVpPQ3VUWksIw
96W7NLVy24oibUe8OAgBrwUZTjNpVRGUQm4ImTy91j/oY3jg7YQySuAv54KkP5jmxJEFWBg5FX5K
9i+ckQsv/6V3cd7Hnew/28xrwxar4J+TdYTHwDYO6YYfiD2bZoWwR/1ysRAzz7fL+fj0A1jMizjL
1dYfGFSLVeJZnidtOzSfAjLgKgGH9Pj9NZ6b/U9HW8yOOkdDncIds4j6qQa/w/4mQdPXjbVdZeGF
Lc6Z6giTCUhVXOY676e+WGq8jLizrgayYh79+/CAZ9Y1HelNvTWOnauv5W1pXniEyrmt9umQiw2P
Qjb7QDwe9vJ1/8xKusaaEt/qpps+oRUlk9rNfnk7w7aOcwsqdwCYrqu39sdwnJXT+9iJjqa5huAn
fAhX39/6P3iVv570v7fDWMytozeNbU1XDsO97pbPykNBTPUnBAY73ydO+CTeaixVpMEdUVejmvFd
wSYJzpVA7zr5zbi91Hu8+IsWk6+liWXYKPyiybdM9O0NHMEqFt5JmuxdaQK9S5HWkSRjl4twFfQ2
W8FFMzY0H/JjKovgNqm4UXxFlF+M+W+QWXhhdPNIlAzq7BoliZH/aD0sx2S/cJpsxJtpDF6yzkxI
AIf0XEFyXuHsu6C8OPMlYxvlKIkLn4LR8mw3SUoSDoonzelXPydDuC978cmAFPX9I53X3MUT/TLM
YufWdeSa5y1rslzATEx+mm3gSML1JPuXPqV5FvhupMWnxH86mElR84Ls5yOk6d8k63gDOQqJ3GRc
x+uLRb8zu+wv17b8kjJL6dRoUlzdM0lSF39NLUFksZk/m2ZlbpoUOvAgB6kTgHpdJ2b4UfnKM5Lb
g6F2cGlyiuRNK0HaqDFj4WYyXb+tPsvU+h/2z6e/dKmyqYHhFmwaNLKLrjOcwtlN4LSvcbXLd8MG
iIX7/UNXLrxcS+1MCjWpwBSiuL6BE9CSf0r0E0CXQpIq/Uc9JPksLOhLChnIGVkvio1gEV8goP6/
9ooOjtkAWEkMx3UyjdPeT6rnUtMKW4lL6v1qTzh1T7i2mhsvghFGMIm1h7HNsCRZYrW31DFx+jSi
VW96glMH2LwSRX3y2rpD1Ay3I0WHkeN1ufAOnlmouM0GVRMdZIimLTagRVEaRTYRt6U2+UYhWNvN
8uGH4Xm/aPHENtbmwumkS4KdMwvWl1EXn5gplprgd3xiYVQfq+pVLCNXNKmzNTjqkuzCNV4abfGZ
FSIfdNFz9IdfZzQu8YJUC+0MwAG6bef79+jS/Vx8YNFoCvqkjUy+kLNCHAdZum5C1C01evGydAXD
ulAOODtdcTiaIR4aLunF1fWSZbaEXsuuUppHXr3NMOa/4pRsblK3vr+4MzIMQCsnYy2uTjLajgwv
TXHN9t0nsk3B8tQBdaoi00YMv9bGI+lzrqYnu+9Hnncwf82U/w68BEp2tRiNnBzYTynDCi+l6r99
P4B89sGdjLBYNSmrkeMKXs31jqW4q+s1VNn2GWv05KRuuZm2+q5yTbbFaL6M+1k6VO/il55TCc7N
z/kghXHx0vH67JsrSzMnDNAoMgBuy8ne1QsSWqlKQ7UCZn/h3Q3dc9T8iCT6h0l9acY9ewdOBltM
BWoA6IjTqMJqFF7jrgaqeZwO5Vu3BY8kr2QqF+oPzfZfAJBc+ELPvsMnQy/mA6/WSezFV+pGtJRb
yo6dvjNMzaY2s/7+OV8aafG1mARDEoKIp2RSCPSpLJuwvhvZGI6mUfwv7+zJRS0+lkqJ+poPk/sZ
EJtVmzgJ6gtXc/az+HcIZbH5jNooxqzXMo8GdxWJCLDGv79d515AEAGiahAsxvow72BOXkD2tbIw
mQU4qbpceaQtEQJvF7LoJDq2qEuei3OFCvl0uPl6T4ZDOCTWDeRvyljKOmIJZDsU0VRaq2tzG1Ah
di+9eeeW/dMRF19YAWG8UEvePCmBvpvnLn1oKKfjhWXhXDlQ1qEszK4a2vNLhBM7rCyAK6b8oVQp
V8R229lhbu7+N72Js5sZXZbRwlozC+zPZHdyHzMjEPIyjSmX4Z1WOQMNgdsO/i4ldKAgMlFgRy8m
j9FgrAsi0gYQBqPQ35klSVyUYMaksuWCTAPacPGsjlE4LJf0A+LdoM0cv9qhR04AKd2rFLy89ErP
ArPqba0GqJyw0GNCrk3JiZX8wkxx9nmdXNnioyIJrKmrqpTdBBKT3Hu2gbpSsaoL7/2FYZYf1tg0
o9yQcOJ2fbotsiNdSTfCbPz917Vg9/3pVs2yhhmRjEqUo9XX9x2GRlIZGWt3v9ceK0daU+1aJ7t5
yYkeyFSAwMVhUVxHB8Rd1ebiceDclG/KxP7AsSahUFy8/bWvDwLpz3NtBFPmNcA4DZnSaqBQDaWR
YwiFH6z9NM9A4N9cbKFdGn6erE9eUyHVmjov2HNGJsF+dbMzyCzlmEUUDHHKZgmHjH98EAulMDpZ
V+1FevjEqBtw7CzZdIzCfDDNenLiqL2JQjRa3z+gc9Pf6f1ZrEtGbI2TOskcBRsfDI20R3oE342A
bIOdvei73w/39X6YKpFJRJET3iSjkZStvyQRrdRbRV/BYgL6GcYPfek73vjQCq8jSaNd318Yb1FY
+TMg6HJCn8CfgwVaFob7SNBCvxQsN/NMd2JfJYSADAVCRJI+vVcz8W6KOW3hKRUK+prkM0xlffCM
zhl0KAhS7locZWJ27KY/rIooc1QrfjeHeF+OQJx1/QASfwXgymbLj02TBNT8Wsdi35KVZlQlQXKX
SK5/OqH/bhX/vqblRq4du0zrdcmVUxOxNaeoq7j2W/LTRnknREmx6Xoz2tGef1aFTqARROl5FViy
uNe9nDqOR4RmOeJ8zHLPWMlDxHdgxG9aXtGUygvIeAIpiqrsaWugzpEr1ITWjl4gr3Kz5eAu4EDw
6VOvqokwzfL/cXcmy21jWRp+FUft4cY8RFRlRJMgSGqgZEmetEHQkhLzPONt6gFq0c+QL9YfKMkp
UrKdmfIiu7mzRV4AF3c49wz/Fw/wBtTsY92W6DUU5lxrSFkeGzIZSTY4E3L0U73OjX9QfPfCWNIB
fuHYZOsGvzH9/cncMgtC5ES7VJIYTDJqfFsLjWUDvRJYVEBGxg9NhYMtbup4FNfAjk6i+LJKWuf+
FbXCb2ojHQQWM7zrzrR3D7f1QnXKpbkRfmD57Ntxzy92sHT43gg22fBdEkMiBHHwmUiFXddopFPv
8v1ZOd33/oCangshQQ1cq2wd1hT6ailajcwkgcpTtcncSC5rRfvBSjOt9PsXsSaXFlFWU6ZiWz54
HlK+pSjMRgHLx1tVp8FSW4JcOTJ/MOMPTnBTv+1f52BFs+rSzftid51glRz5djuL1qrzpzPanl/p
YG/rDTROAktkOLC3TFSDghoIdaepjDLwmbL+/ls6sB2fXe9wy4aWWmd1PA0/rqduh9PJ0zrVyoQr
4+7HQa5de995Yztd7icTrHGtJPcqrkc1rTLX1qXd+zaBUNCus+FUIKvV9u3uHI7rHLzMl3wjBrPy
mKQsXNTelTTv1vpHz5E33++Gg+q0590g789CUfWzQJ1moXiEPbYYHWai7TveHauQzToczq7aE8JB
i4C6WOBtC+2ou4rsqSSlmzczvBUbquV/GBCRnk/YvYG3u++n3QWa3ECGh/rKKHPUQl+nU0I2MSJ3
QL1BzldVUZzGJYS4Pp1DT4nG9GiU4AOpI1jfnAPUw07xX3s6dtUv/+TfN1k+lAEZbAf//OX/HBOF
VZtUzWl5+DYU5bzMWliSwfbN7d2by21ab98s4rt0uweW/L2hR0aK+Jal2+QtHYIlTQlCpCSLGCci
AR9V5OoPiBQBRgrbjGlZLI0iCTZT7d0jWFJ+q/EbkkagVPIrdqM/A0lhud1bIzGJVFkyLclSdJwh
xJ4O1i7PRIJEUTtrIv0UJ65fMmTzcSmUssN2hKFYJJ+G0jom7SKZCX6Sgnsi4CvrIcIboTLa6H8p
pzlPisAHxnxWcKAV8nig+ARCiRIGv4bWeNSovTs3y5GkV4VAJrSsxilDIVk2lZG9J1PJnY1JKE96
RmhttJ00iyXtyhvCO10bZWiPBYPXJO8PoFJXwfnRI2vuJwnZA0GnzJG8Ah7U1URRhoZK6lyYS6af
Lvsk3ChSinL6aL33Q+nYaNmtO9lb5LAWZ1HtlTb5pDedqF9AKqPKILXedwHiPIbGHSoSwcW6D66s
UHOyVD7uOnGlmoU7UygZKHxzqab9haBKXwrPum2a4ExOc+tsrMISFXirWVHFAEHNHHOHQ2U0y6ZM
2UAHAaLnbrMoZYI8vZ+S9K1TuGLkyULSM7vwBHmtpzoWJLzuICpvlYlKNQjggNsq8EHXCqKjisUw
M0PDXwi1KdugayEjuIaKf4es1wp714MJ5kPVmuW9eArK2zGz+qpphzOQ2jQnF1ilUgbCHJaVGmYn
pFiC3yV72BGrIl42kbgRJfmzavrnnoE0h6hm9aZU3RtC1gUcq3AjYNVSY8C7K3RK1MzQc9SqWA6e
v6nD4qxvlchR2+4jghwfslIF7mgJ7UzxG2U+Ku6FHysXuap8ZGnNFlopXQEev0C38l2VZ5WT+loy
l3J5iZn9K3LUFylJHXPuDOqikAULj1IeQm8UVYq99L4GGHg9uJ6xonCIVFGdip/rGpetEyJU75Am
euQKmkv504QLCyrSNJG6mFuWL64klxoVoeI0SkhiliqNu/Rl1Tstuiq0dT2/DsRyLRrBKjBItiCb
0Nbz5tLMAJOI4EhyNBQRdlvVEtFaEWxI41OV3XejQ5bBe4rqLqYiuyqUoJsGxUdSK2CgNvp1GrRn
IcLqbq9+UnLlBOEvR/cLqGp5m8yCsjxSJwKq4B2jWrwaPDCjWbhi/58PqILD0HtXhjkHdpTzhgII
qprJX8TOO88G7bMUKmfgkcO5meDrYc2/8F3qwSRpFaTWCYCSDbkcx/qQ/prp7SY22k+Vpou26TdH
lpzdNl25GKwGMfWCs5lWOFKJYl/rt3dlgaZPmkAF6OvmqK+iTT4M0dXQZcoHb7B68o+Nlv6uCpju
oudEZf+JSG9Zkshtko0wZUOuvLo2V6FWxUfC0IIIlWEC9oOGuNiAqtYE16sJhAaZdIlSkzDP+/Qm
GybpZBSaUh3F8xi5bcf0GtRtJNS7iZhurFYPN+DJUSYz1TG/DKGHkszLiDuqLJz4Rbnq1ehXVCsd
1RJkR4DjGWdZch6YFinnIVzTxg1cO9Z0JHp745xKvmZh+HJ8JrPO2Eo+LEkGu+a92BZOs1AXl0bD
QiKa56kVC4hQ9V8sA4HLyE0+q1V9DhptmFm1NayNwtzUCOaUw13Iz/2sUeyuzAHRG5tRE9Gm9tY4
NnS7DoWGzBEK8gTp2I/cjdUxu+rBuCyE8KzqUFST82szSEmTkUI43r5Ljjqy1FtBJ96DFGeO4MIw
XlShT7a1nyES5LV25pb5vMwrtNJipKf40XithEOlwU8eTozQbz6mUb7yEedexxrTyk1cjTRLbLDS
is6EtnW8LAF0Yya9QzWJLZo5WlmSrNuWq4afyVijoq/og7p2nmyy5/em31Po1e5I9btFuNuf2KAM
ZF0hsVCEe3AAcmvTTAhqWXZtt7Y4HxbI1uLnU68sUoKF9Tyd/9CDcuAAnrZESzQUyoxJkAT/cHDY
7evSBw3KJSfxWHEerJA/nMvrzkH76/iH7qJn7hAKBuCU4cQ0wHuRDLpvW7qJ4YruqFu2eBSfs0ws
EzLJCDgdFevECU+Dyx8+3/7Zi3H09Io83oE1y8ZB3p/EFY3LZoGTdmXly9nozts5mL+5OANlLjT3
J4n/13bhZIExAGA+6LJJVunOlfhtC/GsvCNxYd8ifLGJR+q4hm0ow3OTNbKXDVDhX/l5hvFWx2Vl
EHr8itZ7NA7FtyD1TAYKf+beTM1UsekezUPpLVYhjRJMZzwhpaf9KfNQPxgrUw8AQGZGkPdvmM8K
imok32S9SypboTDE/Cx7hPOsRYxCrugkgeV2a0Q6C2plpEy49bNJl1QIs0ZiuQy8G0tq8mtRENn0
yWml6hYUmXZXN2OxLVtdJcbZa+4mK/uAkt6EZpAuyz8JgGnfD4oUXseRq1yYo5Zf9mPVffCkMInA
nI6QkSqL7Qlx5H41xn5f8ksrORfLuDuJYGBvRhTPglkV1CNALUTOYn+oV+WoDGsSGxNHlCoUPZPO
cwwCvZ/8QGRTwZZDY7OLYA/4jUQ9Y9X3m0oYK7QhXVW5TIMuhlMtjAUijbpITmJtheA0BUu5aY0W
ubRSlirLJvNOPwkFVPGoJ3HniByWoMwaRW8nDZE+AcTmxmiWB27Xz/S6yj1bdwX1rB9rzaNLYvIU
2lgUMOWaAUB60IzmvCd3TJtlVa6Aj0hq+nmEUXOdtipWoYB05bvcpZwlq131uPHF+rjTWv3YKyi4
XuhaIF+nYdqf1cgVLzvoQWQts0Ov8NVFKzfSNFuuegSktVzdhLLZmYsilSTcC16kUokkGzXP6bny
VZhnzcUgNNZp0cTFdeRb2E4cgbxrt6X4ZS57QvG+sTrNnXv60Cz9XlFoS0GoVe4ME83/0XUkHbvb
KQWd16wC/UA50SMXPtC96DQUw0zg1bTuR0GtxA+GlAFgkHxh7WUqPSJayE/6UX46iip4eQ0froRM
850Eqdsp/MkxyGE3WwZl0J56Xc9Btysm7TktX1ui2Z6bGTZh5xUU4DVddy1njftJTvtsY8VudoOa
byuttMRyRbvUGuNUhzPtz+KwTt65Y0Bo3hKkzoZIIZ9JoluutBKRQyDFsviecohuW6LqTTjbpZJl
XqcgWGdhoe2KoUvziwpPGDCe5H0KdJb8mUgJ88LTMvWMkl4SUqvALD6MOhptgHXLjarF0WfT7cdP
ZpPV2kxJJG8hZvq4Go0ieycLeea0ihBfBDJjbFaDlrBNw6ucOocR1CncGCnQqCENOSo1WeMXn2Pi
0ZepmIZ2qJMbonGestvIta5d5PaPo6qRFiIBlM9kt8Qr3aX+bhDG5sZN6uwiVSr5SlVd4zICgbGt
RTi8TJza7kl1WyRxK51GiaoifKhnJOwFGUaeacGGTAbLuC49C+dRNCaf5Exxlw30SIqx5Cai9zzf
/VgYZXtbQXVdSJ0iH0WJGG38OuI0pcvNcS659QeVujokllw3Z+bn1FGiUZzM4szI0UbGmrlA0JXK
6qFrPlSuhwK0UCAjiPapj3RBkhL+QHf3sparapO4fqXNYrHUThvOjfoMbZF2GcVw3SMp0K8pviMm
p4WKsZaVGm6JZzV48RFW144BnSMHXkv6slVNdD8lEMAnid96NoV215Xn46tOwzE/MxW9OWGLiY5Q
9pftSjSKRdw15cqMQb+FfS4fw4jGYDMDUHba4C2gJUeXjeJWR4KauovG8NEAQZ6aKS9KyKhnzVXm
DcptXcbQLV1TXaMUbDpu45Ykx1TdOvAjkfOX3G31qOiukrzOHA+xVZs5JyyhN0QLQUnLd1Ht+qeQ
wd0j6hXFy8FXrRMmWXsVkWNr1x4I7jDmy0Vm+hsxDKnHIkII+1MD7xAN2lnX9FQnl2ED58SrjjJg
dmisdqLNC/XnvdI3kA5N/3jIdPGScsf2qm8G186GVpxbclle1qZUXlg4rNaGNIyzKUxDWXXSOEaB
XeqZcX9lNcawRpwZeOcUtdGqWl9TWd8idEyFfOi3wdkYdWiUaqG1AKmHgS6I9ZrQrWAHfb1b64fP
o5uZy3FI3rGMzfQ0+ugHmjLzMiuY62E7oAirDfPQGD+wWFKZm7fNCuzi4JT1kB0jzD5+iHnPyFGq
5cfSKsk4F/BIUHHafUhANiykPsBvAXt4mWSDfqJT/rfUQrZMPBfJ3PPj+piw7bYIpMFWRj+3w7Cz
Tjo8IKRKefExGtocKJGxXKhBT+b2zoD+WxheDzdhb+vtIq0phnnX3JXDxV0Ff/PeKejdZdNfd0jb
q+yvfWnnbPxmQ2/udle+GvK7f/3jJmtYF7kDL8jSp545/dC3t7uj3e1+rwEWsaBubmkZnxzGuTHF
lf/xJs5S7/H/DestEQwde4vku+mD/Y6N+KRrvvXw33+u+178/nf2bn17mwSwsKq6DG7qp88OjwL1
dmzEPdP1Gx1w0MqTDsDuxNQ0yZj6+uFR97rCfEvpObXvpoj9yYejzt+rK6Qdw1q+v697l/bX4fl8
MHyzL8S3Ci7YKbXg8UMg8LAnSPsEnsbAmD5/u57YHXBNTn6vGxTKW02BtbkDJO51gPXWVBSF/IuJ
vs2Hc8XfcShMge7X9YDKtJBNfPIP0x9o+f5QoCdEDngMl/ueuF+J/kbrw/2kUP7gCvnNSSHInFkV
cHcEc+8/z5eHidlEXesE7+TzJ1bKP9BdXzccfFbx7W6rCe6ql3akb33hcbF9/veHhXZ9C5Vd/3qg
3n1v2njuL/37RvTLXift9oInf3zcG57+/OH5nl/5xXt6/M9VcFduyxt/2D3t8HCXm23ChnXVpBQJ
bP1me7AXEDtitfr9fv71j727fTIfvtf8eXDjEw7zD1u/32le2/qy2SLp+XiXU7ezXuHVIBXztU2D
QKXT4tvnzYOC/AnNx2/OyuyxnYc7pzielfa1d87gSL5k5XY8bB4iH1Pptc3/90inPzbzcOOT9Ofj
f91bWH9lrMynMRo8tjM1/bAPs+S89q7XyZftF8b5Y0tPWv8Jd37Z3DTJl9/+k+2NxYe7/wmz6BR3
Ic2/cPP4Al/bNZttvjdSHtb5nzCH8CJl+bZ/4ZX+jIF4vq3q7fjCG50y7V7bKSdZ9ebi5Rc6ZU+8
tnkqrX/7T7stH1v6fTgq2AWvbX2+/e1/Xmwb6+q1bZ+i4JJud5kNwdZ7aeD8hNl6koUvvdefMFOv
twlL4xvWSDalIL977JAnL+AnzNflNv7t3znd88J6oPyEKfskr+TNQ8LJ/pM8STB5cuz9K4vydKns
jQ1vLPWyKaclZmZcVb/9m+6L9zdH6eGqP+E1/fEYyXcf7yVz6euZmzHwov33wy9gxk0N38R32/KX
/wUAAP//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lvl ptCount="0"/>
      </cx:strDim>
      <cx:numDim type="colorVal">
        <cx:lvl ptCount="0"/>
      </cx:numDim>
    </cx:data>
  </cx:chartData>
  <cx:chart>
    <cx:plotArea>
      <cx:plotAreaRegion>
        <cx:series layoutId="regionMap" uniqueId="{CE059622-E7BC-4C21-ACA4-D71D6F376423}">
          <cx:dataLabels>
            <cx:visibility seriesName="0" categoryName="0" value="1"/>
          </cx:dataLabels>
          <cx:dataId val="0"/>
          <cx:layoutPr>
            <cx:geography cultureLanguage="es-ES" cultureRegion="EC" attribution="Con tecnología de Bing">
              <cx:geoCache provider="{E9337A44-BEBE-4D9F-B70C-5C5E7DAFC167}">
                <cx:binary>7Hrrcp642uWtpPJ7SAuQkLRr965qAe/Zh9iOHecPZTuOECCJg8TpnuYq5sbmcaeTTtLde6a/mpr6
vqnxj6SMAIOew1rPWvzzaf7HU/P80L+adWOGfzzNP78unWv/8dNPw1P5rB+GN1o99Xawn9ybJ6t/
sp8+qafnnz72D5My8qcIhfinp/Khd8/z63/9E+4mn+3JPj04Zc1b/9wvV8+Db9zwb9b+dOnVw0et
TKYG16snF/78+nKf7vbn6e6X16+ejVNuuVna559ff3fa61c//XizP/zhVw08m/Mf4doAvUGEYcZj
9PUnfP2qsUZ+OYOyN3HEcEwZ4r/+0C9//vxBwy0u1VOpDGzAl8N/9lS/PtPDx4/98zDAe/36/3eX
fvcS3608WW/cyyZK2M+fX+dP/uGj7V+/UoNNPy+l9uVV8vTXd//p+wD8658/HIDd+OHINzH6cev+
V0t/CNHZxdXF+S+vrn85v9n/sr34d1vyNwMVvUmiOOIJZ78F6o9hQgizEIfk8wmw/jlLPofpzPbW
PLy6foDMeZD2y+L/frD+cIMfQvaH9f/Ugfurh/u2sL475+8WVvgmjjlNEop/KCf+Jk6ShPMo+tM4
fc3vv36SPy+mrxd+99j/2QvmdHH45d/l4t+sEgztLGIE0d82F/1x9xkiMY6T6HMzS7788c9VcrLV
f6CPfb7qh3r4fPC/VDD2Z+IX8e7q/2BA0JuYEtjs36AD9pz9UA6ALoQkLIqhJF5+fkCXvX58ePT9
fyAov1/5Q2B+X/gvFZz89ArA5Uu6/lnf/pu1Er8hcRgiHsc/hIS/YXEcRygJP4eEfPmjn2skb15d
9P8BAPly3Q/h+HL4/24w/poDfKVL2YN7yH/lWd/QgH+/+oU//HDpv6Nrn9v8/uPPr0MUIsrj6Buk
ebnPdyh++TC4h/VrNXx/2TMsAqWj5A1hnyEmZBSCNz1/Ps7ehEAeQii3mCeYYeiNxvauhGvCN0Ae
QsZ5wiAjwhjx168G639dA+aBGMf8ZZXGGLLiK829tM0irfm6Kb/9/sp4fWmVccPPryMevn7Vfj7v
5XGTmCDCGdwlgqeERHup+Pbp4Qq4NJwe/rcuDALZzcOSGd+Ha4bqcjDTeePCYr6v43VclZgiisI2
Y5Y23ZQWs9VHZYI5b2cSZwEy/XHhfEppqZaPKh6XzLHwQXI6HHuvbRrZxGUJQ2ZbTDY5FXEZbacx
LFONgjDXo51ue2+G87rA7TZhXX83xwXLeajW23HUwT7xcb9ZZex3OIyrzZywx2hGS0qrcdliQ42o
yXynyCDwaN7ZNZG7JLDoQy0DdcC9kvkQILeX3i3baOIsR/U0vm30Gl8s04S3RanGLR5csu/WRmZc
abQtPF32ciDTTeWmJpXeBPtBhvbdINcybauuvyqivr+2QYfSxS9FFuBlvBkpD69qaeMjb6k/+YrL
1EKmZVNh6gc6yeHQ95U/zH7WaWUNuQgbojeSlt0prCqXdeVSntdNUOctT0zWYC+zcoE7ryXmp0rR
9XqoXHFgCyrPJDb923WGk+deB1vbsTozrbMbxif32EozXSvM1m28omkfzbjP3TyzTbggvPd9M1/i
RcUfm8D6m3meQlFbNqUjLc1RElPkRRkNh5VV9TX2WOaEqSkLW19u6rmNjkMz15mefL9jcdjlPuA8
XSFhjkNXj6eGzvq4BK08qYWZPBjK+aA0mzI21eFNU/f4OPC6OtiBD5nrW/puWiNylFAQVTpKY591
g0K6x3E8iSZUyYe6aKetjyFU0ZoMidCoJ2fRNPREFDaJ9lUb8g+Vt5EStO4hSEXQ4dwVkmyKZfK3
Q4LWHUaSXGlL2zFHRIZaLHXrs3HS5Q0f4+5CVR5dGr64u2Y0XSeaebXv5yrxexrO62PQDGEtGsOT
DwwnZZK6IJhOUwPvwJ0tK8GK4b1colA0qp03clbxzrF1zrBnasfHxmxN06ms6ILmgRmqjn1jZYo1
x5mlYZJOhC7lbqVTVWVhGaA5TQrClRibMTqOSzdu3Rytt4TX/BoH0q0icQPPGLLRZdSMfGNISRsR
8XHISztFOi0Mm47IKXg3hKcNj2t9l8QmFiPr52yJ0PQ+7gNyUIvps1n76l2vjD040rttM87zZV/w
6FjNmG1crGoL957skkod2WYrkcZIVIOye93iJUq7igaHadDolg5998mVqhZFQ+qMyjg+s41RVgze
GiQsdvSi73QbHrSz84emRuMzk9Iu29KMft2jpvG18Asyh6ZDpU09r6fdlFiUmp6b/drQ5SrAbXAq
DfHbxUXofaFitxuLKriOxmI+EkmkFyUevBJc1fMxYUN1E05tA8UxJvuaabrFul5K0fbcXnE10g/D
VFZDOkVF2WXlZLpbpNruzowSbTR3zSjk1E1tHhZKGjGQtVqyzkSOZKwNfbjX/eiw4GTpC6Gqtp9T
tMwNtKkBQ4/pqEy1itq0RWi8MlYFH9p+YM9YV+NH1nfmJuqwu7FNw4WkLX7bVmHfpaqDQloDTW9a
TfA1r6Py3CcoDnPW4vY8sGOx08M0PpWYjO8kU8tJlW5CwvXzeHJFNx6/Hde/A5In2y7QI8vfJJOv
v/7r7IsO8+sI//vxF9Hl998u2mdz7frnZ3f20P545gvufz31dy3gBWi/CgM/oPdn+eYvoP3fLv4t
3Ac0/ird/AH3hW3+x38fH0D2+ANfgOu+AD97A6COIpwQFkEoom+wH6ZOHpOY44jRF84HNPx37H+R
DEAAChOA+BCw/lvsf7nRCw8EPshZDGtfNuK7kIHk9SfYj/ELtn+L/RjjEFOO4V7AO2E8/h77K+aW
ylUdzlpddPs2GS7GTiWilyM9EaKKbclHd6lksY9C7fN11GXahPLIJV/SCK4UnuJLwuh4VrTapfPY
V8JAPxqcvQ3j5Hqp6yolaG6F5uvbtSy2jPRVZuL4uBb0eVh1vx0K+XaGw8I5LdNlmU0aQ0/bmNIk
x3Ewl7Hqr7yOvJgCY0XNaoCOnnpBF2JFUbFrjcurbnbTZljGY4mhRKl23bYkq061mwqxzjgRYwfw
3Fe1qCIXijWWj91Lg1lmtyWL9ZtEO36cEnpYVjddRXVpt23sPhVyLHOOim1n6TufLEywaT1WLeWn
te+TzD6qczf1u9otNBua6p4kXgtSlJ/qWJ9QhaWA3v3YTO0iEuwOKAiIQFXN0ojiIR+WdRGK28eR
94ch6N77pO5SZGx00CsfM1VIl61RqEQRlufMRvUmqRDZ19qrM2inUdbpQm1GQ8/7pPSnpNdpOGeo
RylewtQGFcnauLS1SKpy3SwjxXkSmqegHdzZaAO3ZZiaDwtguNATmgUfJ5mbZQjuOdU3qOWX4xxO
gkRxnweKH+MO3ZVFoUU7NTsV4kxFyw1eVuioqMvnZDBZ3BNzblVxAQB2M9fBfVcsgcBDxc44sSxF
I2rSTuNGyHiWQgb6pFrS5riEeGBEb/QS3UxdFW76ZHoglA5i6Fq3nbF+TOJOCVdGfcoD4tKGMHZJ
BwxIrCF7WKOwgF4cizlqNyqx13w1PMOVKT/yVoUZwkEsej/71CR9la6FLTNEq3O5FPeT7T52Q3cf
JUOfjojdrojlw+rDtOsHky6VvQyN2oRcvl2T7o6T9hTW67uxMGTXm8XtbGeWbImbfVejT52dPvpF
Bek0WC0GiT7weN5OOqlTOSWyFmM9fxo7fwrN/GGZknuMpjYldRVnElOdRo3aJgb1Qsp53CYtXtM2
GmnKNBRBUiUrJFHMc976aQ90phLae5QlEeT8NJPmw8oB+nrCH5yOgu1gdJ/GaHyvSexTVw1tutgZ
ZbpWDxNTZNN0wx4O3DQhWjJbkyofaeJEgUcuFgP/9HPVpjpoboF8wSsk8hjgHq6LUCkkmR7Ysl4k
85oFTR9vnYuu7KibrHTNlW4KL6rKnDE87s3Adk297CakrnGJO2FVdTH1MUwZUzUKjmwibJ0UYgzx
vh7ay6Wt88HOUT5WKEoTyIFNCDUfex9BcAogT57FQhdBKZLC8HMcrWhrZFFvgppbQXBH9z4cYzEt
jc0DMjSbqVzDvAtlk/q41QccIbxRPQkzNtYWNth2u6LhN6Ulh3CkeYOhC8FzFgpQ256SMjyScj4r
aqA+RRRRwScN+cRqJzq6HMyALlyJswjXtzJRF+NiIHSr+RgEiAo01tc07P0pmHB4qoryifJaiqBI
7kPbxEJWy5SW0zxsagOp4MZGZxMhfdbZMNmMMyTOUkxm19C1boUdIiZoaIFGxn3Wouna+cLv50Jm
ETDgEPUpXnlyGDSzOVTBc6uR3nAztgJ1bM9p83bWUDK9Nidd4Q/1iNQu9qs+lpb7vO765hMudJ3i
SK8pH6JFRCY2ooo1O42lW1IlncqrpY0PMe3dAXpfmY+rdDmaliPT4akt2SpUMBshi/ZRx3Mj2i6x
ol3wISzrYwxJnkeJfJqZ3a8r8LyW4oz6fty3TQn9wDuVBma5baMBOktzN4zcZmPV3qDa7sao3vmw
4/kQlbey7GahI2DoVCK/reP+MMqeCub5mJcJP+tr50S82tuyGGkgIhx2j4tv1vuE1f2um0LogX2x
RZMZUoz9uaXdKgpO4o9RkcTpWCQn4IksDcfJpuU894KU7i4ImiNqx1p0YAgAOwzeEswx5EgErFiu
wJUpuvFrNKWtbsuUroHJbDIcxk46UTfJKFyicl+4txwzAMC23Ji4Rqmd4yVdQsc2yARJimPcZgX3
QWoTGeYetygf+dxlfdwrSFIMlH4wt60t2pSFbZIx7u/xtBa7shhK8YJRQQwZuPTBcjaoMTxzMh6y
FShAjjrnDqoIyYk265OZ0O7/00W3vAgoHCXA44C//TVbvPFGgmZa+u+Eoq8X/k4XQf4LgYlRnAAl
/F4qgt/BakpIyAjBCVDCL3QRveGMfTaZCAUTA5Nv+GL4BmA5jDlkaBKCbRhGf4cvQjL8wBcJihOK
gNUSkKdAegJG+61WhPTqo8KXKMOs5KdCx8EmSfxzizqSLq2JdsBMgCVUjgK5mWG459WJhIlLOzs3
m9VZuq34zFKM7JrVI/OiraYnOk9MgKn5EAMZzecOEpkXDG17Z+6IwnUa8LLbTlXU3QZrVAAa90O6
Ruueywa0AluBHMPzpKsrwSvqUkucO5eNLfIE6kOw0BIxIhBxkG4owF5EthoG2V0BYJKC/sWzZSq9
QCUISdOCVRYPSbgFxc5vZFJEoKj0xSXlfSgM4B+MVKRLiVyMgD1/CG2tBes6eCnnRyAs/R7ZWGWs
G7WgRn7qGy43bkQyRcF8dETNwHom94CqItyt2oTnmL4AybR8WGl1YTVRWV9UJ2m5SSMUTKIPK3fG
uhqwVRaJwGZ1aZC0Sz5wmGtLVseCOfLJdl29s+NoNhVLmjRW1eXCDRELzCi7MsKViANidyiW+VgA
JgSlfjCVN7nRg82wLovN7PV9GDd3PY0+EF3N26a2cSlMLRPRWdRsUaQfwmie0kABy66gI+3YHNz3
8/oxkO2c1sMwCqWnNbVyVKntl/dhiB8oIh9M29WHkM1YlMS1WeuLx2axz4uHAINqOQjD1FM9xG2K
J/5uXsMLZ9F1OZoLuRZ+67hGO8znLQonGEISvY/x8N7F7Rmw+dOi+Z2NBp2uCQtEbNQlWqF9u7XY
Tv0SZS5e252voHOvSqVF7y/7kJ1oEEqh2NRldUt7IA3ROxgjGhEDdcoMrxNomi1NjSlQ1oXkqkPz
toj4SSfkbgBAXzySkF5jL8a+NlvVVE3KfXfhSXUTg9CYj5LSbKKyS9vRsut1MUXKqd93lS2B6vHb
kJQkI0BZRNyt65GE8Z20sxNDXdELn/SJCIa1FlHfFmdjrUH9aYMWcGi2kPclPfJFShi48HyMbaXS
sqBWSMU/1Kh8SIxZgTXEu6mZKWStJKIuG5WyWvGsVdP1iNYkHQMcgTCn79kLnW6juU/JC8Vumvqx
fyHd4YQH0QEPtytDm+aFmTtyY8se8M6tbQ5iyglTDxtZh41YX6h9K2G6kZbQs6TwgYAZ977By81U
s4voZTQoAyg8rBXLcTE9DuNghYVhQr5MFRGMFwWMGfhl3vAvkwdr6SWDUUS/zCTsZTphgbbPCZtv
VzonwIWDLq1l2GTtyobcA2kRRK6noFYLkG89pROPums9dzcJhhHAJiU647Rs92NkcCSCmY1ALOI+
pbFOTsOgggx6SZvOLCjTZK3Jrg0mnjX9DOzHwx9jc7mKGiiVqGnoMlfjaBt1AT4suupFKyOfBrTt
MiQ9FCnQi9gpko/1YnakJcPFMi8v/LZ4iwbJ07I0OyrJowlWL+YSDc8v8uV7rxy5C2qGssKuwCxJ
CUNJM30kgQVpSC23AV3csS7Hd3E17LWNk7REy4NZ7eU6YPvd5xnfiQff6jHfyjP/b+s9AHV/jeDf
+tDfmDxwzRfw5m8AuwGaGUUJ+ozQv/k8DL0BqAB7I6SEAgIDZn7B7hg+5eEE7JcXuYcjMPl+l3rw
G4oZo5wjTkISw9c+fwe6WQIu4vdSDzwbAaEniimiMY9Ap/oWuutEVXHomcydC+860C4fTRj0gIbD
mdMkuFaSFGltjN01sQWSqJr2BRZroWn4Noj6ZGM92CLRNMLQbRp1vlbJktGaP5N5hhqowiTrZtqK
JYl3QdR6Maox2ISOs8uVKLVtiezFWhVYDIssNmBJVSJIGhhStGm2azzM+ZJ0WCjL6WEGE2M3VbV7
jBF+3xRrCZMWs9lUrbvI1+qybBqYZ/W85CDmR+kMVgqoxDEwhxnupvVKcjSO83YBfn1l4ijIgwCD
EFCgrSZlmZO2azeVsS0YLtP7wDb3ER4ebevKrTNTmIHrYdOBxvfwcmxTNM0A5kh0tXQ+Ont56k1r
HIdJZdFp2blOkG669774ECyJFsWokt2EYa4Kphqqtrb7grOHARt40gLDbg0kPDSL6tMhhObDYLjI
QNdPttVYFjcwrqxwDIc7RxICKB9V21iX/WGelk4MoGjtZ3BIzrrBfxzKgWT9AMMHUJUxHSqaZKoy
wQZ5/BQAaRCF5nPa1xgW9XpTta5Kg6GDdo17cJusi1NvCrslYR+ltoEArmBLCBWiMaeRnPezDIJD
F1i21zOet94Y0A/W5rpdI5T3I4Anb4dtPZbDWw/CxsbJ+b2qk/dVDEjVJYwKUvcPWrVPcRXYzAZA
yVoO7l/QaLJZw/60lhLOXPrrutIXQVFcroAuYp0Qz5c+afK24E2ezPGnwoebtp9ioEX2KXR9kcqB
a4EKibPOmzivGP1YzN6LUKoyk3P/XuLoTke4FHVXdMAzyCclo2yly53D/jYME3BqSCBFJKfrskNP
BbTOrMPSpMUE+xktthJFwqVwMWwcVMwjaDBauCJcNk09PrkKW8FbfM+945sgwbtgGUDKVBTuOdBI
lMhdle14UZF2BsslfPAY0LUqlM1BY3ho1+497TRKVTPIHZPzHQ3VR1YPz7Wvdrgj90NSAX0c72pN
YTj0y3vI/Avsw2Jj6Hq3SHUbtfUGRsJjy/R2YPEFCtRtPNWBKDmaxDyjK9YMl9bhHdJ+FZ7rnRwn
MMXsQ0mCt2NdlymiQbI1w3zwtnsfA2MQoW+fWgJjO7P1p2Vxt1MBJJl3kUzrgEvweKcXEeYt6eJW
VGw++dpc2m6Jc28blHd6wCkpw1g0VbGKpp1BVKljJ1gZFDlqZCUmblQ6Luq9mTn4WFIdC0nvcAE7
qtvuWjlg0FETTzkqSy7mcTpjATsfp+EMbJhdEupth5tVTBRUVR7SS/BL7v0aBifWtSq3Q/mOxAFK
9TzFol5Acq45PVW+1hsQq88oieQGUVO9LRTMHwQM7cxO85iTuqA5HlG9q6LqvpEjyyK/XNadKw9g
ONcidsjnHPsipUvwLIPCiM5MQ4qSZdm2Xvq0W6cLNvs6j0vYqXEdGgGCxQkMGaixYJCCEskyLdv2
bUWAwkTL/Bbczxvq8HDrh6IToFPWqYZp5mw2ej5ba1fCZLT4l9Gg34e2xKelSEA7NeO7HvSglLQO
CUwIO2963lBRtPW8jQfMt3NNgDAXnp04C3zWsl+VdOgkquel6Nf4xkaBypQdF1FBYWkwzpCJ9m5e
bxY85l4Ph7qJGoELVmRdwIdNCS1bBD44Aw/DQr+hUSbH/tjgMgdF7YMkMdpHi9Gib4EQsbn9YHmS
1zzaEUvPnCo/LNhZQdc2W1dzEbgKhEv1Qv78QZfxOVgqVATagPDelgfMQV4LJ38pJxmKlrIyVW59
UHSs8ha0QKEWfh7KcFuqaRVyBW9zTawGTGqXDISdCcbJKkijWD4hZhZRLqoQdQRdW0fdsQvpbprb
6zFBKEOB3FjWgb6kfZdpM5SHMnKPQTTsOzXV6epXliV4aQWUO9w3kYdKBRpEG3j6ZnR+EyNwPjrd
pMFI7lxvTv1S3mnQtnaUlJAZg7yhvYJCAu/hsK6yETAWPi4Lu+ISPRka1MJ14A8GoF7BHYuHEJcZ
GxpQ9FWc1779FGsoZEx3xdCfZkpPUzvVAoUDAKO9YahSIkmKS238p6CN+tz05Zo6ZOG7iHUWa8Du
49WAhz1MUIF6XMHpbCArQEfO/Cjr1PfROZY0HXuZaymrbY2hPVNPAmFpQVPXtR/B2to3iKkUPl6I
QK3sKuFHcJCK0D34boXvJqBeHM8QKY8ha4H9J0wUpt9HfoYRiaFWMLpC00PqIIMoFjiYbjRa/AaB
pBDB7Cjo5NuMVv6GT+zTooE7RBWqsmaY6+26ALzXBh1iDa0FyMZGdu3RVNEulDDjGcK48F2XAb+/
bpcQnCLVbLQMngzTURr19sOIwZcFmeLWKQzu6qz0phqCequKFb6C6EcpfDTdFwmeQVhc4wyHTbcJ
e1SIEqqRIQofL8RlLtm6U/BpxVgNa1qpfjpEml2MynjY9mAVfYWf0Cq7DI/uYgCV+FSOoPkNa2DT
OWp64cvxAJ8YsN3s2ks9sB5sDJjTAmtDgV1ZpD01oeiCEIRCinCu9QRyvOtcnsAn4tsE1TXYzksi
WjaDyDwB2mJF75SKVGZC86hLdROBVguvw9kRU/WhAfzJXDFcxB5Mhtmzj/UMLM+jACKkuqDIknrl
2WjbNQ84lGGPYQTxEnRmFyWgAVcFu3frpNJlLkxetWBEJCZ6G5T8Ufa9O6qAbWzXgKphj1MXvp/R
NKaF7cErTHgryqJrL6OBHPUy5yEqd7wke7wWJJPFPB/m+lO/Kn/uqzIPh7YF1w7mN9funJVJTqex
2rQ63rC1XzYDc0lKKlIduG9vPJufg6Y+JGAyBmPRZOBMpI0EsxBp6NzjOJ2WjttDkRCQ27G6QAt8
QjQbWoIwNR4W+MJiV0fqAT4GAEN/KWGo7c9JFYK7sXononhxKRkCtUEY7ENu5wvM+YGr4XJYYKQ1
8qocXgyMAmwbQs5tlXyIwDLM+ITZdhjKI4qh7Ot1Thu83toKcn1ccxKr5ySQ28gCUg4tvZp6wkA8
mW/g8wqzSRQ+NyWoyrqK5W5M6AgaTQO6P1qSDfgTnei7FRppQuCZqWw21eqB+Ez1XRKuaxoWsGcF
5IgJ7Yn+T/a+rLlOXd32F3EL0UjwSjt79+0L5cQOSCB6BOLX3zGz6uxlOzl27bqvN7VSWVWJrYmQ
vmY0nx15j0yHPGXwtxpVd8BRgoYGsVkobfNQZtyJ2SAeLGt6c73GRnleVwnnQKzaSVTB1NALYwXa
seT0oWTOjecXRWDYFg9l3eJAKH0tnfEKjB/UJCMOvfvYk/zgr1UylrhTxggmROd2FTST/do13bHw
UG97zq/aap9RMeRx66FVmDoHx194D/BBqBgwO4/yAUBPgQtRCy+PCDLHzcydWzQhD/U8X9luX6Hp
756BxBnQKIm7Yeo2Tk1uhAVVTjWAh8yqHygnrwxRovvHN1mFh7Tsleum85ouWFv7Rq+DgcJzfGGD
eZq96m6qlJ0O2mxSY4Dgq6pEMBitGwu74SlyYpaWrunjNFhWPA4VGgzu2qAach0A7G0ClNLZrVGM
Tig9Cj2Q3fIdeNJx762OEeFAsHDgax/4o7kkJmdzZNKRAwpTRtCBe0vr2kvrbNrzrN/aQyFCq5BG
vNo8BWiUcgelwtL6OvCL8Red540/6KRbOkjQhvKgvBYfa7TNwK/Fnb14z1Bv7Vmev4LFKHaM4dyO
+rB2BRjFWV7QvnvLaH+TiaoKORRL8dz5N+MA8lOq5bDy/gcC5xxWqiLB4JpVxJnEHubIOTP3fy05
3vqEbJC2c/3TsvS12+mLmnmbvLLDUiiAsdN8AXjwtlrA/lKirGCsKLhpo/P2asofqnx9Wbne2o02
I5EPt6T1j9KfTkNT3mVt/jRI+kytmgarl/VRSaeTkS2bKmd9VHvkfp3rh4WIq3laLsjMXqoWEF/X
29cNXZ7aYuhCNcxXU19fZLNYApQj4ra28jJd3DLxhX8JAZNKqkW5R7swjEt0M93NYo0QHzR+FmIv
3yZ0qmoctrMnLqRokTFd0E5qLW5rCVWCduy9LcSbJpBDIVjqZKzq+dYvMzP+/6TK/5AqzHJ88ytI
Jp1e9MvwXoDjw2bw+4v+xWSga4F8FpgLoBSwH//R3gKTgerWhu7So451hmX+BWVMyK0pRex2HZv4
MIWcoZL/Ed/a/8fEF6ASNF0fF9ti7L9BZfCvP4Eyjm2C6GHwfEHQS33gP+9BGXtSEE/kkkV9MTzY
g0GDYdBp2dlPAxc7r21uctc6Drm40QBKMiTJ1RJx7eS7Vq7X3iqv7XUCV00Chs7C7f3AVtDadaq4
zZchZLzZ2c68RcQZEB3JBA1DeRwza88ZAJVOHHPr2RBFHYpCpnzMDJRdgAecKmnWPe2bx9ayIro0
u7yeDoMYNmUDGgHV1wGkxkkb+r7IrT6Quk4Nk1zauUwp5HANyw9j76GQ8q+cnoX+MkdZP56R6Uvi
6y3UO6ma+kOWmxspZSC4fd+K1waVyWwYEbS1qHbXVOl+O7tUh20zbazMPEpSY3OmIiBlHzG0F+8O
0F/0UDYO2EeM7NPrOGNo76TQftV6Bl16FuH6A1Bwd+0ANcLkmmnH24Sh4B8Kf8MrKgIoKH9O/Yjs
mF+XvIoM37kBqpAOAvGNlFtHqNQT+hIEv4uEbwWWYaYQh6K+A91rGlvdmDt3spPFN2LIpUVAgNb8
w7r+Y6n7ywMhpfztiTyL4pj5DDwCeMr3T+QUdTNzg0CY1DVpZ/mbupCverD261TTyG0VgA/jVVjm
noEpIj6ycQZFT+EEma7jynrOnTHkvA5Yx0NX1aGzyHhW18aY7yGdSbi6HaeHxs6SmZoRV9ZuzCUk
qT+Fv6d+JOYpdH0zaopDthxKNBSdSlrG4r7be86RMhFS9dxribap2xs4v5bDwVyVMaTPc3uPyN5Y
eZS3w1a1ZeryMlGTn5gz+yWWnbVad3neITKjGaUG9MWZ26QMit7Y9OSbnsnPkhQ6WLzpVrnFz7zp
TpP2o6Z5Kvp8Oxk66KmI+hrnH0CZ8KaLcugC0jqHfq4SDeqiZ5CQVKQ/ornYOUOWrkt2WBsdsGJK
Af3E5rzscrw9CS2tN8yH7qyQLQV9dcAwABgak2V+mJYsRraRYQuov86bI12WBsQdGlCeXfLRuurM
6s3w280ijPTrQ03Or/ijxg8v/90RAD38/gignnKg7y4ZiH4ILKhl1LFtziOwsGEE++ODWTWKG5/r
PiCj9Vbz+pl60LXVhlhQHtu3Q1MT8Ch5u7UMdu32Um+0P0/fXD7rr0fVt6CFPIdd1/r0OWGH8JYS
2GPkLNljzSDtQ8ABxTZtc3+J/apPmD3FKGLSYZSJHIqNXta4bBRKK35kK0R1g5Gaet2M6OYH1d8v
rjp8vZlnPeSnvYTzwoFNwiQWs+knEJ1l/cCJ0bJobLxry2uvHd40wewVMuzcxf12S87f7/N6SEUO
aP+zWvQzaL9AUe4oQlnkVVlQ0xUBqdyahXtDmbcn0BvisTclz36OVbFB5L2n+ZVfqaecQk/lGuSE
axU5uZ1ki9q0Xv5qW2h+GiBzdcMu52m8Uq533XLU5trMI8fRm7PtJLARoNuy+zHUTlQOzXHJsiif
qgvDYYD1nXho+cHP27g2nKDjEh33+JMXLdqtKS16GXlMQ7KzXnCt0MD1IJ51HhDHDQ1p3BYz3fQz
/uznBS2BA4GbCPrhemz03awex8kYIOeiP2roIOe+266UA6/EiVwssoTrAgM0cgl2ApR0sS+GajMs
zj3obgSe8lhXl4U6WwSGePXYJdwQF3I8LeStz7Nd6Yktzt9mUPN2Ggg06Ag3RJcJo+12FRUFLORs
u+mkrOWmkvXDMIiUr34qtI5Z0TjBuKKApiI2h/IV6HoRKiSysPLXFFf4JDnbdGUWlYhDBFaKynUS
aNLCoX/LLHSkLg8s6J9Uo6AquhQK4XcSITMN0Lz3roZqwkSrVCdld1907Ee26sSuyoiiPtcSVEy2
aYnx7BCxaRZxW3RrnOFig6QOitk/9P1jNv1gTv7UI/uY+bExjhUFzjyqaC1pmE2A0cH3L5wktCxv
Jj/wRDIVvypJ9zI/ozksnQuAZGntIVXU7MD9LGi5ExrNwyrKn7zqt5pt4HnZI7hmYgqywdxYNb8y
IFBtmYp7fzviXU/Dm4YMaT6D4x7CLLsjZNmsyt8MNnIhjA4qf5RTC6oeGaK9y8eHuQTrVDY7Su9w
x6DXn9jT2YOztIDbKxBA6BEfgbzuOxwyAMBRKXWQGY9f3/DfV+qrK/dJ4qJncxVQ9yFjnjWSvgG5
aN2hAQcqC9BqNVxwElAxLsg5loa2V6MpDbTFLsdpOOY+edHAiYPBoz98eAnMBum+zbLreR3JUSoT
PSS6MG4YqCDQf0DOBY/hf4jJv+T8v4UoBi7RoozClnV2jr0P9wREjDkyhCgwwnFmjiQRZLwuq9wI
p0m5/9DC/3uF8Qet6KCw8BlkS9Cx26AsPy5XMej5wIx4kRAIIjOwlXhdOTtWnhzAHMgiAqoFDL6z
1hiRAEMEKp/C5sKgTrTNaYln2o73/+0WOKjaIZrxgE9BgX92vL0r49alnUUG+1VUs74IoH32AjH3
qdfmp7Zh3jdR2v5zx7EcQDALv02IoqyPy+mSNxCa4x6a0j5UqqkT2Qx2yhsbUkULfhnlZGHWUcAE
imw6m1zC+OOAjYOcu82gGzLM/SpJknUSvax5WpYuhgXlhoNqgVYGaaWGsGEzVWcTC/woQTFmz0XV
JEMBPUgDoMx1s4SL/IcJ20jCrGGI3aFftiCpqrDqBxmPk9999+bPj/Xxonx87E/FcgMXjMtG5GsL
RiGa8YvJ8YGiQL8EnegY1fCORY1vI42T4Qod0Bsdqxuvqr/5HH+2UJAv2TjoNiRuINo/nfdZWzWE
uNyLphGJBmnCiAoQwsVgiBgyO5y33H3++nz9WVW7IPltGDsovNQ2PJof33jJJK2FgUcvbahBTA8Z
AMLgn6vBUsYa5A8F4tO/pqzQ4aQBF329/lky8HHrP63/6cQtlecpBckSCHf3gk79czVMfWAw/sOv
Ia+3JdhV3+iuEQq8yPT0FPDBO8yqO0lnRifoAvAtHKLCirsvPWcsBd1vB7ZjbroKBXUDdAb/YAaT
PfJnd80ec6O9+uYh/nhxvx8CthPUe7g35Pz3726pPnu6ln6CPsoj+1EsRxsKP1QX1hRXvnu7us4Q
Vqa8zAQDQt8Weaq1DwKgQulpFwWS6wJm1B+plyjp/1gYPfrToqPFgzewAmmOrAMFl7HAaVianQwW
Ia4BDouklm0eMekY37yXv74WB15eHApoQT5Xa8Y0LWZno5uvGrZfFRIdN/pXu1tuv9m6PyIOFCEQ
lOA/z6fE/NzVUcOebUUgLetZi6rAMstt1zRFFSxlL2N8BHIc+yLLg9U0bBGvBs2OvRCvpZ2Tjaey
bT3rw9w5R1/av9BP023t5+WNDdk4CLnO5NcWNR4Lc4azggBC6GwzpKzPQ1tl7QbSzPmbJuXPnSMU
GQuchc+YY5FPF4pTlzqixIUSuXyyK+e2csbUKuU3Z46wT+kKWJDpwudknhti9yzJ+Xjomok1Hs6Z
H5HVSerGjEfAGGgR28GMBbMjKjXcJTQWzl25wOJCMj+o8pdpuFu7aBFpXqfresPsTamvPBRp3tGo
brUCCb7zXBIYnQGIENXBG4rbKZj4SVW/uNnGtiPDZk0Uwr6bePPzqJbEt15hjMXbgym3R9msYu4M
ESxMqajplYSLQtR+vLTbvHspu7uB2wGxn0tpomD241rNJ9whcDY19JmRJ67G7i3PIkXvqubguccC
84ogDpz7Z8hSrHxj4eLrG3fA826aFrrR8dKnkPijYFtir+gSrXXQ6VdpQ/UY8TYt2g0B1uI20OEV
Q9A0SU2raIEgAq6dwOlpWOskHzZKHy3Zx9mcjACDPSkSt1kDrZztgMPSvuZ9AvWQNTuxKLcUO2B4
kS4J+nuwKgCG3DrynRV6gmulOpirKphOIJBfq7jogFI5r6RKlZWi0A7J1KI2tmOKD1HNIvbGnzO9
76SbDoWxaexrVsedqEDOP9TNFC/65MshLAwVt851XtbhOkJnWr+Oc3eR25E7d7B4DRvpTaFHI2D4
0PYPpr8fKOCwHxRyUUDL89GcxF5WW8t68txbYd667ass/KRDzwnZZjzUdeyX94tz+vqef4qQvw8r
giTOKsIjMMdPYR4MsbYVSPqosfoqqrkGjT/PQPe8jTmvUWuAk/lvV7QcEwMBEFhsqMrP41rex+R8
LoyhlL0X2RVoPXi5bnoKzKotYeVWSwfnXPP0/7biOTK8ywLF0vTwtjIPBxikvO5oHqq57wMrs2Zo
ViGMgbHB/OYxgQzj274rXv6JA2ir0VMzdPLmp2Urg5PBkXCGMVLDBVNCrea8cMJjZbOLub4BAktE
E9jetihOK99DzwQnCK9Omrmhxa0AYiM1v1XdU1c+FCxtzmSYDEtzh8wU9CCWJMYgFCBmc+uiYx0I
g6Pn3hDoMstS7bh1A20bBAqPy2AF5eClVQdmQtSxi1sJAoh2OlKQmw4e7suwtVooZN1fxvps3GfW
EhJSxf1ShswOi8ZIeHfXkxIGnCqU7XQ1ryLgaoklWnrvx5qD5rh3M4AIbYiLWy7gl1gdKltE8F7F
zHZBNQGInCGisaAz9YJlPTAzhIhbd0s4txaSJTiUqK6Dakq5RknLnWi2RAgtSsjqNnWzvcBz55wh
y9Yhes0BdDRXcJ1A+IfHmvSM8l9B8lQFZP1hL5cCelvXCszxspbPMguhC6nHOSiVs6/IjwlyNdYs
4DShOljDadn286+p2ObzVVn+hIBqyE9uDfJx1ME8xnJMYPEK2JSuJIIfeppvzXspIBOHGKmJQY7K
+smo96NxgJctmNcHG4wO9cDoXnXPoIzosKLN2wlg1Pa9UaqtbQLzlD81/TW7qeXu6HJvtKdsinJx
sh8z+2KxInDBFEqQstpLezcDC6RdQJc4b36paWeMsVFvm/nOLiS4zP2E8FucaHsPxXdY82iCur8X
AK0g3QFy6hlACPfotEF31+Sh14iyPaYT+PdiOHQuWLUgKyMBgpdHztwEnhuWOpqMZHQuXLm3+w0Z
j5VMgPb3eM0iqZwL3R1GDAgY+9iykrq6atjWL9lGYgfg6JJOCuXRbB3cdrfCpDscpnlnqhvTDgda
BBZozWGKizYBBFOsJ939an3UiRi24J1yngz8udY/oXPJcDZtfbGaV4CZvfLaXq7M5rrvUEpCQDnC
7Iga+IaO295zA2lAmVE/iHory6hat7UR0TaoyiKlEL5k45aLJwmOFQALclc2xRM4C3o94WC7r6za
+HaaZ3etnbqeHdLpsiC/llsfkwmqA23TcT3NwyaHA6OPhvww5akcbgqIh3iJS2GCbzWhNk0ajcsF
dHb1Uo9sJnfbq4fFi1uJ4/UgYZpkUcF3jGxyeZuXm3kPgHYyIHuHzuM0j3sktBxgDm5ZkW1L0JXH
no8BopRgCQ4j4VupYs858TksIRjR4Wrce+s1d3EQhssRMyl+4x8xTiyHDYbsagAsVmj7W9MMYKTz
HmQG8Op+dpKSJucJDMNdDTgru8/NAEGh0geP/fT828V48+aDv0OozIdt5r7M/S0u2Mh+YlpA3YMm
BumrojMfixEtHJNX4A5LlQO6PGzskEAWMgO8gick27Vwxi19ImXCp3TKAjE+511qQazatgbCiRm4
MJWUOs37iOJ8SA4RBfr6ItDQwFbeVXMO2PYuWxJL3xnyuM5vto4GVgbe4MOQ9yTzEUMaIg0By7Cp
IWhykVnHNRraPtBNG1LULGDH1+uMvCLSkQyiPAi83LdpvLZRDg4nCB3h18mh10knGGP74tZpd8Zg
4su34wBgKHaB7znPC1RK5WZAAdan5WGRmJVXBJXcFlBmDuoIfWiem6lfbhjFRXop/Sdfi3BsujDj
MXSWSPsHucKWgpvSr4FL7kY2X1pzFXdqDjROal/P4dB5QdXQiEzrIc/WnZ4vzStu71Bu7wi/rvMZ
tbQVFwTAumgSS+xyjSjjXxfLRX3+P/m2kDoq7Ks6gwSmw2gOC1Mq4Iy5WCqYriHuK2HEDhc4Lbzm
isApUtFdnscYK3BplU6gPe8w2qmXwwVPbWxCE1k5WHjQKTM0FoJaiQ+xraGgGizK20Ebez5niSPT
NU/VKwQikF2Tq85fNqQN+VsPB2q+r8AmlsXGK1D5YNfoI0b/QEsNm3Q9bRsf1Zl9Y+7EdIHKCVrh
aauNSxOyYd7lia73GpGr9Q+0G8OMwM9Rq7gb1BbGbGADwZDhmxuoRTEV5qk9C5MRF+0CtFJAm0OP
PCPz3dQe1oxGkBDPF1qmZ1QFKl+D3cL+7cy7uk+X8UcuHy11BRwlt1GVGfBPbWghd/lDO5IdQcBU
bUArqGhipjZFdcqoFZaIXlV7AAVkVInZD7h+aV/e1pde8cSsJIOyuFuKoFmywIKohQ/X1Nz0ZoL5
QDDP3pdGH3DgL9Z8TyDd9mB0n71jj7k50FZqQKdOBAOlp686ciEg2TGQPy/s5diMuAxhI9Omf+gN
VOLWbqq2vHYus75+QhRF19ojM0Hiyc8ZmFy6gPsb/VDd0BXyiRmyQ4QjSHUaCPa5EXu5ROF5yY7I
uRnABz3aAc+RTs5XK+jnq6KwIbfbtzWk0h68Yhdyjds2kksEqhLRWU/bokbE2vkKNQ6DtVSFJZbR
cSWuV/ey1vACwCIttpm5mcytno/nkt6+O0O2DtYocC3OQfFmttMKHrBzFxrrdV8bbTALGNBii99m
mDJgvZ5FO5734Nt3okZ+hwFJ1iyQ7iXJItKnGH5ETwY9Wd1NSVRE5zcP1xcq26K6dbqTU0ZWukCa
2F1Y5+WDqTwgeTWYESFvXDuhRQ50HXI4Ou9sqCob+LmWsC4hWx4i2UdeEUuFZEfvvWa6stSplaeh
uzCdX3Z7T6pfjXe3lBhjMG0MaQWanEruXUvpotTdO9NbVvSYsBKSHJJyf4n6p4xfCv1YzmVs4gub
aILHqi+iOvtB80QYt3ICArGCY6lmnKWNwJbA6S93qgm1DAhmFZXmFnSFqK7JuG+sxPPuHee4Pg79
S4YH0MZmqZPaggm5HzcFOgxG64u6nZGQu7gWrzjGEP7AQTyMbuCsCWiNwHLHHTqVVvZoB/NUSH5c
kFx8nNdivXWghyNHu71UIzTHHkSQD1K/4Vas7F41CVQuEfDD1ttCpBB01rG0QJeA0JUT8lgJsQ8c
DI2+7/mN9IcmlrN7s3g0FO4KWmnTGUUMYULoIwJ1Th3Y1g+B0sFYfrlkSRyk2X6FEZKBpm3NQHUv
NWxTzDsQuvVhDPXoo8tfijYPqyuMAwhUWwTFdD3XMjQhiWown8foXptiiqh5ajm8mejrjAVyZWGl
eMCQNN/JAD6BEegNrLPEA3Yd/AnPzKfeYLSYW/nl5EfWwAMzx2ggLw87r/1ngs7/Cp3/hsY/9iAf
1zmjPO9an0z1yuPthNbHGK8xvQKBcsE2lWUtMR8qBy03JkrlexjD7zEPa41on6eGy3+alRX5pQPR
BqKENUUOUoiWGKDSFphyMvob7U4vmdtvAbenCMJPvkB73Zp4l3l/UZrW1tD2pl77E6XgaEwHOKAM
JggCIYSCCQfVNcS3oRqphfEJxQjxF3ODAti9a1gAGKCp76xpb2PQS4oeK8EgrCliDRmSr3vDP18E
wBqPAtwFjo/5OZ9QoW62NTyFMCuS5cFQwGWAX7rHr9f4DS19fAuwaxFm+Q6zCPSEn2BsLanwsrJj
UaP4AB2k2DJ7RfJkGLp1Jp7doXUDd50PrdkbIenmLa+K+68/xGfu+3c7+v5DfOq7J7GMg7bRojm8
70C6NeqSMZlH0oWrsXbh5WejvpzcrIxLbdix40KSxxbnZ1Ew9KxTWaAuKLOTS9Sp4/BxwoQAX6hd
3JYFbNjFmaP8+iOTv7bQ7z/zp2siVum5EOj5kCQZmKNiQ82X5p25rd0M+gDgx7TbunTGyDQ3aDx3
m2WYSSW9qzVfL/IlfyQTT0o+7XyI5rsanJkh4I4coEm/yj0PQvY6cVBVde305C43pEb7jfaMuMlg
+WHpeEnbqNjBKBLRoDFCeiKQuSs4kwENQ1WVMBR3Cq7eqbRTQiBSXgzwEbvFV7BmBXKm6YDpML2V
sPFmZCwsG5D4Vhu7M3A/etmv0ZrrC1Xd9i6Nlakip7KvUNfaZA90dmdmG+giIfsD9+pfLASTdWQE
7ROo18gXGFBUXU71ngBizOHhqS457JtL08YL0C/aTlsbLbMNb6cuItsfYhMu6Ma85mwrBfJRp9qw
PwvkMe3BGKqUrMXeViffJukyg0RGk837/gYsLqa1YWIhDHzKVocGioiv37P7ST7yz9H8PeLAdvHr
9/jId1HKgR1fK97hNTewVM2L81LX/lPfZ3dc62MD3pxmxt0IMTc3cExLDJFT1fpsugy+lzVi7oI6
PXswWrI18KLaZQgEkGSy/JCqi1wCIzNeDm8VatcycawCJhyMG2mtndA/mxmKG1KHS4tBPLRBpNRX
JiepvcCcSDPImvukweCT3hgT3UIFP9iJZArNZZ6MSm8sB1JXv2mDTgnUisZzJkdo3qSMxbg+dUUf
nd14JdUXY5VvXSaXb5Am8knB8c/2YeajY1nQC+KpPwZ5k6hWuBJUDdfwP7kKFr8OkwP6srAxcGUN
2nrAICB+tOHgD+qRqRDOhAfMneyD2mkq+NVt47vP9Le4iqlf//lMnzhb2FDsAqIKP8KsxyjfiEce
A/FL3R1m6ewxizL6TttD/ga7v1/xE0lX+HrumIsVpxCI8zVwzKh5c0/oyPbew7QX3wSnbx6QnqVG
786sN2fC7e0SYxGna9E+KJrY/JuQ/ddr8e8e0k+5yfLorP0BS/hztyfGqBB+zONqY9b/CEt47qIS
FeI8OvYrcv83s/NHtnq3rPXxyXRpNBoIuR91A7lyFuuumVYYagoFtY+x8zrn1gQ/IJmxNWoQZqtI
HcNJyFwDFGju1nmFXJxjrKG1XMmluBNZviNTvvOZOmFS2RP8OBAytVt/7ZIeemWM6dg7VvkN5vvd
3n1KuTlmzSyYC+lD0AOJHPyWvlkkZnsHgK0Yn81OfUP7nCfp/oH24ocqYGoJEj2g9E8vy82F5RsM
MczI+JXflBfwcjxSDhbd4ZhtMNJnf+hvhUCJbI03MnOeC2GCK8WoRr84kXWE5rXMgE8xcDtrs/fc
/Ap+jY3pDrFvmOj9vHhFtatgKzRs+4EP/IqXLqYb9DCT2uLOoHOMka4HgbEVtDfvO13sCMsikdmn
BY6moJz6t6lWqcqtWybcraqt3dpp/k1F9feL6Fse3NVgKf8Q2cEIPY/VubZdBndCvIHb24RZdMXs
L6BNfndPwX+xrH2e2uGFGwGmiUSVwpjUr8/xX1/Ivx/jtxD33QXVKzybZMQL6aebqrlU39bwf18A
nKJFMHoeI3U+3hOaV2bROy2eUz26cF8WGPv39SP8NcZgPjq4Eh8sAj3//btHWKyyrXUBBmHBXYFc
IC4cb78WbfT1Mr9H6vxx49+tQz+uw0GZal1IPxox/SUuxhgwxoZsls1PiJK4n/JXumlTcvn1sufv
+tWqn/avX4hZGnCOo7BSIaaShoTxZBRFMLP5mzP591f170Z+ykYm6B9CG2ykNOFaRdMC++Z//zDv
ebTP13+hM8zhjR/lut31ViaCsWnf4Ic+Fpb1jUL0nMk+bty5qbMpmkiCHyvx+wK+OxajVa+FO5yt
jzu+KXfjxk3BfW6GzdeP9Cd/9XGZ86a+Wyb3MQRkdLEMH18cH0454AMO5gO4MWl/fL3Un0fh41Kf
DnoPGgrToBAyMMI5sjhmq7hjhHp46xTiG8LzL9XSx7U+HXaMcVTuMp53LwVYuByAMkQw1yL8Xq6h
HY5X/Rv9bs0/a5OPa3466stSFCaR6GPye7MKZvAbaZuoBx9wVbrEVcyj4pue869nBDM4CI4HJsN+
FiFg1gtSio+nJOxlLRn4hC5dSLHzhH+s4KydVudgnbHTr1/kn2cG09Hxcx2oC4EFc393wu/OjC64
LIkNnRpw5iYdqnYCtei9Flk/bzMMSioK65vg5Vh/3AYsifYamfccJj9DKTWGRPcT0INIQNwNcGfB
oOXCEf1Bz9l8m3nAiQUnUAYvL5BTYYK38RNdhcKg2dyMbUzWCifLhLe4tKaEZc52pMPWX1rMciT+
he3qWCk6BY5kcCi2/gy4pPG3qvOuMWfKSMospyFrm1+ezmk66kxcmFPWYqqkK++ssdSRM7bs2W9A
eSnHmGLmCEjiSQWipzd+TX6Psko53q6FHyT++mU4eNN/2RwXOh7KIEmx/2gNatFxkivqRXMH5IFX
BHwlBv9uGrIeGlcBb2VEI+JXT8r3uiMksF0MH7ILwbK9RJgM9AoLHAo78BJoZTH8vqicHR9WfyPX
Hkplj2YbdBUtCJ/5Xtbmz6qY/y9HZ7HcPBYG0SdSlRi2tsCMcWijCvwR4xU//RzPZhYzNYljSVcf
dJ+udkmaPIG0vKnY+uYZo41+F1kJ2zTIv7tsHOVta7HlEGF/Fo7+C70Be+jIj1cGqdlWyLrZ9kgK
tH8JC3VY+o1WMRXqnphURL39oDEMTue9pWHum7n4e6Vpi4MxgY3sQiZUdrm8jgMrJIREn+YcXwT7
9Kx9y0dPRMfQkVc9wwtMW4cqXkC3DoxmqFWU1ptLJ4iUyJuiZCvFktuhFE/DwRuSn0TVTiqk3xTe
sEajrir6atKFeZQM2kX2PpgfVvX4J9ie4+rfgEFlgDK5U56tJ7s7GQ6rX7ZTGnrdpci9XkDl5Rpk
tblVYtx/+J8x5yNEgyupGiDEwLmPvSemgz2eoajt0xwg3BhCJHBWT8n+ZGHcFic5UffEQwQt+yRZ
7VZQ5zHrY7jO7Z0cZdvZfs81B7f91XBE0LL8NLMWWzBUl05eO3wcG1uWlKvbpnBWC+MCA/l5EebY
Nvozti+cOuNBND2rR3tXGXeJ2bes12vqE3dKJnafPxVTrTamvqOzLoabXlRuDlgrlngCIgids+5i
xVopKvsn5hmTQHnndGvylD4yy/D1BElDRY3cQIy0VjHlYBsmbCD+1HKDdLxqQtaB/wAC3Co2FKrM
ICYHPc4Eza4UDDnj1oBpqRCIlS31mw4iZMmSndyPfloZbpmNK7kSK0nC87p8SVq1XiD+SlnjF4a1
H3Lxp6ikUFRp/v5cGY22WrvGEh1M9u11/gB+8wiT/KLr9a0uAFPXer/ROtWbSvXOSfue64rYhYgw
GJ2w5IgQueXmuI0wuUZx4s4GywJui2GmjWKmdY8k9EB1s+BnCCMQZti2Iyv0FODEalx7nVFeonpx
ENrBgm+ZzmBWrV6BJ0snOa+26kIChDw7Gxg9Bxtczz2zWDz1S/hddoWz50nvPR55fvvQoE9NFC1w
cm57LOh/46D8S8fus2uXh9a1KrQWnEdDmbzGndo8ykF50ZJaPLQ6+jfJ+OnNEmNUW+b2ui6ZoQi0
Dr1N0kYcsoSc7mkx7B1j2GKjrVZ6PbpFmt/VWL8lsuLWFYtnMwbIMXmlo1TcmEkwWyEiLCuwtYWn
obvqiFicOPLQUCK5f/IW85fB6r1Ea9YL7YGBEaMKqzXn63aE/pfW6Y/xxE0zpl450fJqG87OLNk+
G85r1T/h/YhPWLTqHRzJWv+J7HZ5cXRzl7bYSwjfCBGqZft4RNhsYXscC11hrJ16qSRBFRn9hLQJ
B8oK00ImQWHQidiPE41FZh44RYXgPXYzEJT6FHmJY6xa47dJ5c7msXh+WFhuy3chkLFUhvEgD6Nd
JxZzOjwz1Tqcc/mitxgrEwXP4fTc8OjP7xX6I9pmsW5rGCRdlt/LdLrFQ3ZeJpWSXIv2kVXcp6R+
a6r+e2z1lwFNod3br63TYNMID8Bfb1UN0COXDFZt0p+6kFOS9WdElbtlzg+zVu4hSA8YdAzA5XPZ
obB7DlfHNt1MTUTj+aQjN13ZQkFXv1KuilWxyGufmA5s0E/inJnuOgxWW6Swb0o9LSjwFhOwTPdE
nj8XRAVEhLZo9n1SiZ0xWoaXmErD6HTRdkoK0LCKEaVnCRoFOwlHl2eg35dAglZ9XYeY7RQ50GNr
9JQ41V7quGM8l0Ab14b5ntbGGMQpNKqqDKV1k0XZuZScEofo3OwBhqdnXgbVWcR8k3VqD6vcyvY5
/acP7gi9Y1/e44ywF1vo2ypEF4EdPmIfYc8p0ihTWZvz0HhF3elXW866nTbWnVeX7PrkzFCOpqiX
47JwG2lms1Ej/Z+Z94wzAOHaxcBKGeLaajDHo67heHkSc7GsJl6rC2AhOjzdSKOTU2NknNBSald5
cneXJ4G3ntoB7NU0BYZca/6isbGWuvAiC3VYQSlE+ZEoPIMEyOAX1P6kSPqOlboJEoHkJUvMbpMm
zZ/D+y5QBnxAcFxLaGosYif5MWfs1bMsvxp1+4bllcwKRbykysAIO0ReJZKbUfQbcEroAkIvEWgt
4UjrRXuJtOWYaNWthKSowGtYqcUEaAm/lipultHdnUm/cDP4Vqv7uha/kpqy0wt4iEa0lfLk2uez
m5g69KhlZ5eRb8/KbgBAYyLilzNlT5qL14yQRaPer53u7JREUyxmuq6aOMjs5YIcbrfYz3SXigsd
IWjCKnSwlRqpQNmdeSR4pSDCUJyR+kVQDlBrFni6snpn5GJr2Rl08R6ZVNxlh7mPo5Up4jYYCMXk
JcMyvg7l9mBn81sLykImFIP5fiALS6z7obrlmrq2bHHREgbUmj3vKgQeUq4EpQnkyhSehgykE8w2
mgyO4rgcFJDpSuvsZUk9WqV+KLMcRZU0E7nSW+kRhsNn3aY/xQR/U85Az1RZ/m466eSWy3gHt2nD
3rJiN5eepW1lJms8G7s4agYkB/b3hEzDEOl2tMStaNMrA5dLrfbnumhy13KkT43EnpWkOG96rSBC
UK27NYZQX+bkkpUGCJDxJ57Z4mARuTaG+q1obHJ1DuN1pFpIKnSWkkPLCDwd7o6MDRBo+z4GrY2q
B4q5yPTUJz3nYpvxpRup1QrD5gmfpwOyN/yw3CIHR9KpNEeIlnEWBVrYgaB1xGtRVK8LY3Mf98PJ
zI1ntEcaUhSrJrNoEfKLF6G4zhN0GcegSqAqBWS4PJwKbEoSU1apHfAaSefzW2Eje4XWPZQYe7o2
ttewhxaPAjukxrPueap8QrjL3I5JCtrEATSE/k+T1JuFrn+lFUugaOZXqTr5FgtM7VUhTjinD/eL
3N/YhEkckNZZzqWT3sqntmi/VBs50NIUrJtTlWVqrVO9Ssq+qCuvnkO/Z5cWtcpjMtRXnd+2Usrq
I53tk6MrELagRbHOSV84mi6iq3eNXn23dnrANrmTcw0tSnzs7ZxGOEyGVRYiYrQnbQuu+LVPEaNo
ExiXQUY8Yk7DDa/PTjarb8vme4uU7tUWsPtbpAqWnf9E3Ty7ESS6rFjuBf+zk7MZGI3kt5zGvaZX
7+CftrCktqpWb3oNKU+jDAfAjNc8XsgFKIwf6okQ+FTzNpmol/BSncCEfow97HTUPTxK/tzYlyID
fZQxpy7b79QsvUXPu1Vhzi+tpGzQT90WvQzMWj1Wqh10SrMt2vihPAG6kvpWt+ILquBGrqW9psW+
rRFDlcXnxcKK2qYYx+VAS0s3TJJlnTX2TjiKl7b9Zmzqw6RKG0AL9AnmugkzgOr9lgAkl2Gs1zfW
n1K119gyGG0Zp2mRylVoXIfeJFEIYQrSmSKqCEyq/EaJNwyMjak6LLVJ0dkjgkn2qmbfAeQGYmTC
bU7zyyKXE3pK61ermzOZWkEZw/KSkGGFmbzXiuLaAi2i8fBiO8RT7pyAvq9buISKjKMvndM9QvxA
y1PWp6WCiWtwswkfVjjkvEnN7dPBPUsMhW305tW812YjkOoBC4qyt3p5V43t3mGTKNfwecLhN3VA
ps2sWuLwH3pqAoMq7aimjZ/OxabuxKM3tGDsOt+Q04vFZYhDJJ+2dow7ySuz4TtCveeMiE6LYWuU
y1ZCcM5l8kuFUIUiekK80vzoAPNbxRYDQtPYQBf2n8okPMVBqyFompPylxSYx5jiL5jazyUnqiXk
w2YOpPjoVmbVW6JZO13D6mtrMgrD3jUs/ciu2R+Qx8JTwrJQ7QqrPsLj/wkz6Qi2hlpcSLsKzg2Z
yb6SOodRMvfliBtXNT4aK51XXQHhCcrTiBArr5Hw55N0jQ0QY2F1pOR8sZ+Ibk0ls6qOUy+a06Aw
k8NzFtHN9gZE3s7ME4Ci47bJUQUx3XgZFv042tAArQm9sx5kqfKuOSUSrXmfwcpYBpSmFDE/bT6s
eS1fhn546LWhr9JO9rMl2ehGeFJyAF/RHGhDv9Hj2Tcra1Nm1kWVpYODu1ZLozNcauhRzUGmXK1G
85gl6bZRS9gTtZuNxGNk1HXRPL0QSOLXasm3qJyntPcwfa3b6QkVKLqzBRFmJpuJeLa/riw35JIF
GUkZ+ci16fsFV0J7nKPFtxFwg6/8oud2B0f5zlDH8DTVdKYatr9W/ZVS8+EAicyLjDK48qYFZwqR
C2uNGC0h2/u5eQKOF7SoXfg3svzKlgyylsHVwe+cpmi2VfludywkOxIzdA5oOxbowPSbEaK7jwzQ
c4m2b+EOERYIKWw4T1P4JBc8UivZhnP9NqoCYVN1piT6RV4ApEq6hc28tuWn0xBRaP2ssjPtMmvV
NTf7R2ilH1Yz+QpHvYNsqKvn3aw0f8w2/Jzt+sxOfWKIYHbsSOvwVHBUNlW9c0LJH6yRLwvyhCP0
m8j1ABtw4nZag4gOxt261DP+sYS8UUr1NR6RruZO+ztXhg8GS1qn0hJ5lZxEOzTe6NHVHs01+4G1
U0q8qxrnl8yx2ndqs4WuJzeUNfK+VVEYOdKgw4WevEZNT6Yq3qYRCU2kjhM9QRivmwhpr20jNS8B
8Jmz8ZcjXrUrwAQN/K+FAjgxcLEomlKsxdhG8AsnPch1plIR7Iw5HwEjJbATpwLhbxEPJ6MAAcOw
y1nDBbtZA7D7bKpCXNbTT9w8DZUSet4w46jixNPdHJgpIkbq7TTFdS0RRrauw+bc9O25aLkEdHQK
na6OicTolOs02+gLBR7AqtB3jOzmVSHUki8ZkX2kOScGR6nbODMzuRSjuiC8wx0S6auogdjng/5T
y4QIOQrDFGcuP2DNjS+D3Qq3FPOWKIA0YFOi+SyXHPr02aBA65fzs24I9KnbdzImj9JU3osy+WOe
vKtNjmtCDDEN24GVdmBsu+ylaOpTWyUbgTVoAAo4kT0FY2lPaMUR5B5SWntC7J95aqp5Rtm/4TE+
g6g7KEr8xpl1VuLhJir7fSzqv0GLXubYPFd2fs5MJaQrWv5l0fANLDJoZoFapOstIOpJ40WTRqxJ
xTS9y8Z35xkONDEBgqMmPkZ5/NJ5TADWP4WCKo0pSQiELEkeBbvuZXE6onHT/pSuvpYqlYEp5o3e
tvSqymcu00Dq5MCvtGTOgtBWjmk0vqtEDZJtNFwypZNWRoIDQpP1jVhAIhhNupstNstEPV2HikdC
Vkp/6pg6lDnlWDlXKChjmfEOg+vBqS8gaxr6Gy1fDrUgfinJsK/NS3yPJkP2JqO9D30j1ppkVs8s
BGUVl/W+tvLWyycHxqNQX+Qke08n6rM5zhc3lox0XdZheZim6UFAEcNHw3oAhDE9FL0c7wOJjlKZ
LCeiqMSmc1rSu+QSvUPUjLvR4W6tc16NMyxX1yxDhUlQq7htM82/ed79UiZHe33uOUnZNV+b3CYb
cTGv9aC92Lbk58t0CCXTX3S0JjawzH6i9o3zWaylWtPQihDaOeWWuprkzksK7F19giGF2uLHUgCs
OHou8fjDNlacjvGeU557TT5LVccMz2qqF4BGkyvsxvCansbOUNGOS5K9jklnsnN7/MiBI6NcuecL
KttJrdIgtBKoQDEUmFwnLAl0yrczax9OERVuIqMhbZMhOZVVJAHCCFWipDoyr6TpDTa+TV/2lDxX
yZFkn8RVckdFa8q0cYhqgr5qUe4LlQda0HKv5DaHsRaWx1wdJARBvACRDRJVUecf5Th9p1niCsl6
zzNES4CcPuUMx3MqGTWSGJ28sYk/B5wOmKJum6uprxZ0dlGGdTRS89dsMK7jzCCtomqSdKxQBega
Zi19uNNktMe4SN+NJnup0qe7wdb+ybUaLEPT7dRouBlVHNT19LBn1pB1+JJpDqPWeVgrmfkG8e02
WBGzpl5bJ5ylq7LV+/VgilfKcyBTThmCaZauRVcHUUeh+yQhYQCDNwT8LpRoeZooP+EKbQAyhz+L
XnUIhXHt6qF0xgb50dfzaRFNHthDk12quPpo+dSuJTWvk9o8nzSjW+E8OltV95JWGD8m+RiZlEx6
BP4WGoKXK00glxq1dzbq+DTAXYFMiD1NbuDEwmzye5HEhzkqU8gdJfTiJp6op0wGBDG0rLRH7Q7B
dEs376ZJVniGrBIbIevfJv3wSqgyNhwdH43ZkHYmtaqnOCbiZnvBycjHwMikoj0emBEVTWifuz45
15Hza2XL99ib10EuNmjRiY9lLDaQyxMt8h55iy+m5IX7l1PGmHp/SJBGI5p/zDy8q2jimDKNn7TD
rKEMaONGFaxWiVMn7NVD3VgPLna1VkR8Uu24DKyGN6VWip6+VhD6ZUqbvGu5bgWKqLmGUTCRUbUI
62nNMT8WCEqWsahnqNP/uL4vmfk/TIVkMYl2c9VrSggpxcw3lRiW+6jzCW2Nh9xql8gPbRFyRywI
HKR/pVMfcIhvCbvi+7G0vSRlXwb8w3VnXzIhgiEzdks8bBGH0yBxLukxkXz8RXG4F6J9GNl40hOm
Jz1cVkTMUVrtHWKqKrM8itbccENuky7naB9AFlKXmDO/KCnKdb9gyLFsfUMU7z/DVKyVlSv+VC+B
GnKDqh2RvJJiPK0nWXuOw3F51Ugh/G21mql7XKNkSpFz9NYxBG3rm6oMBBksb6e7iHIeoxL5xbTs
R/Wq9New6zl35duIG8/CaKoN0llquPKRdF8mgjfMcwkNretR0oKYmYAaMEdiPI19I49WRSeVvjHq
xp1lpeIRbCzWDguh1USahTuaChZebrAlTu5SjuHJwEFOLkXkjrP0RdfsPAQ5eepMTqIDftrRJx+C
+DvkX9+cFE/E2BkhPFsZuWBjf+6k6rPHfiYPSLTabF1Onyqms0UZ162Jur1PEfMVV718PAfPY1qd
ogE4TozEa0uuzcbRCXgdkuzc1g2mNkRtE3Jv0E2wW67lM+UxH9yRKUQiS7t2UlcjInNc6itGOOs+
bc8idLwuLo8dgxnudFqpJ2Jrn7ftridaro/r/VSwqnDqcJ9QqMii82WxHCABrXJ52pgDAGbb+OhD
vG71wWCSUDLUI+IMySHjXEACaUKCnq66cx35I0e8+Snb2XtlVz5rniqhyCN818oeYyZOuOqa8tFV
+6KvdiAWfLCPqzmdvUndlAa6aJT1ChF48gdBRMnylrcfnfrCLu8ZH5YjcaUBJE16hG/QbHopRd8I
W4wkwI4bTeiIx4q1nQqgwd8VgGodqHJTukkxnbPqQYTZqnD+6aYRZMtT1f+cz/8/ak84tlPe/anz
OdSqLyNY0pyzbZ0s/cDMCx29gta73MfMlMf8UE82u999OJ4dHBVx+97YH+1yHYin6QZCG4bam2Ma
DjYcbaDVjJzoo+zmV2Wu1c3XCscDVnn5WT2mzBCrdkeOC+QmBPkzOYsvNsqyFhQo75qsm3ZGizTh
xYBNrqWsIzNqBxZponDgDAnKpXXzdHA8CDwFmus6i9/nd8Pamf2xmbY2cyrRXFBYQLMljUbzLU7k
vPj/PYX9Ay4xtiFT58G6U+qsq65dyTLhL3QnBAeNfq7tBg6v1iZaKn2nYXUpN/I6WmlA92RxrGkq
Cw5dViwVBqs5pK9fvhz5IstzwLvazLfIRaDV78zxrOl/LJadNsI+9meJoMMbD/F2pfCtZLLPeIH7
LWOcTSHvUpl7dfcz2acUjjU/3LWjbZavbaISdATEqXqmDFtxcUmIrKZqM9sfcfo9mM0FyCFmyEOR
7yOdeLqyIUbqJRruE78rt5lRw+XWQS/3fb56plQkZDlZRe+SP+2BSFl3T6sYUuyiOVYNqUw8so7k
1mNBEXDkT1zpIPUXcPAsjA5Pef+QfaqDvUvKjNabOgiw1uLg+9U2rXlKjFdNYpqA8qg7Lw4sAUxk
5quWUextaxw1c1Au3GKYj6j6ep2vDsQdlESd6RSRy3+NDMycp76Lt2P2Xs7fC2cJa8C10TAy2vVO
UJmozMwdbgweg40y9i4un1jf96yHu1iGMX8hbMCXRo1FGDI5ALjTfI617CttA6f1arN4NZrjrNLg
4hVnkOthVVzPVkoL7pMmxUnw5Gd37NG/lYa/bFHXi9AwBLV+nh/DOduyoiEd9zJZfijfR7ROqanv
HOOjjl7oqq9PsGYZkS2knsQweAr2wEr9Aey0hp9L4FkasGrSmDVqyuKqQ40quZuOhskmJZ45W0s4
YitiuY4yLWu3PIMIc0+txFZr5Ieeh8fMitw5HrHbLdNq4uiA6LwfyDTQx3JkFNfcVXKIDE6cBr+Q
rJMuEX+qEg2YhqORvEqaITULVAov1fpJxwbSG7PkfiOLlBElW7uxOycsFDwnZdfFTghar1r5jklC
BLkmc9ZeiqaCQ05XWfZBzcqpj2ePRxlVI13xgJuWV2Vsf1cUq4p4sznMW2hX1jay5c1Ywaivd+gk
VE4yQqrwI10ILy1jy+/kL2v6RH961yxM2Ibqt2UF3DMKaB19JZxpHqqNUnw43Jwy0bV5MrixQ+qU
jZQeW7DFl9s6zHCZWPJSNcRbzXpcMJ+qORr4gs6ZEnpQ1GiiVdgN8VoAsidCAlZ4uxrDeR0KhyT4
2GOYfenn71Zk7tPgFwuxURLGW3SR3cWcxCmuz1UVtOOls65G/mHrhVc2ws3th23dqxnTAUctTDrJ
eKVWXRULl3WkIZuFG1FOVPRTdYlan5/3O42v8sjwZJMZ10g6TRj1pGecKRHiurZ2vgZsetqXgLCo
148ZmBnbY+bGP4KKIPswlwO7PFHeeTzriUjL7DqS4FgVQPRs3kRun712Zu3blAdTf8Fr2NJ7MQ8M
GQxgILec70H6dp6HAEbi6k0qbd+QeojX13HC3m88rMnT8aMN8N8m+WSRxNx8KoTFK4WXMbIouiBh
2gzEKoOg0+86WPcyEyth3XSscE3pxy2YI5AAuT+QaynUDRgejTEf2UJ5e0o5n0POEGRbyJHZeEDs
XI/KSyz9dgnbpWML1E0kgbVccwDJ+WBuSoZMsoqUf3AFRmOQr7unvaKydyHHIBNd1lVthGC0CVgJ
ARLwWtXVRiDcbmekvtYELft5wznFENqbW5MAQJx+8FOk7Vumn5UKk/bPgFVZsjy7/Z20f4Yl/JbR
bJZfnhFujJEsXg/gFIj/mJRbzWZxutdAHZQXqX/Iw0pmv2Rxlk445OeHRiJb8k9CTWNlMN5ahqAJ
kBeCDoa+vMyENZDkvm4RQuj9RyNjYJOMXSnvlYnuxoBERLie56h/JQ1FSpEv3rLsGipIoCPf6L5t
+W1OSeyo1+HiXMgpKvp/5oBLpoiIemeFUOCorGRBWEt2CXkmpigkmAls5owpP6mYUeD1Z31yN9L4
X14LN7N8BzJWX2W3Mk79Oa3BSkrBOI90F5KbaWvNJguQKOOTrb3GApVH65fDZUh2BRBts/kQy8PS
brnx2hqEPjB/vfDW1uOj8jzvu88pn05R9pNaeHarD7NB7zO66bOl0khp63fTExOeHaouGMKjUSur
cXqMZbJqijiIFdcK+c7PzsLGKcMXfKobFU+R86JFaI/UxJs7WAtsm/VomwzX2bgQhhxTIrRewnWj
08IM12wKFv7pcMrSS6X/LIQXsko3NBImni9B4yzSf5FMg6btyon3RR4YKTx7mxkcpU2NTggjBoCF
AEAtI4FSfh26i2ABSh4Gi3rpp4AHgGinIIoQoUl7XrodBSJRzFt5+GQuXdU3rP7jstFBxTMuoisn
GQI/foFDkkm84U7SuC5CtCUqxya1Gw2BupwKen9FIZLiSgB52NzZiSzsVpiEy9Dh6+Fi6jJjCvgF
84laRkkPsBptBaxDs06LY53tJppFlTQP5r0WbWv2W2YX87ORn3QA4t0Z47SvxfyZS72vqleoGFhm
KbH2JXnsPTydMvyVmmOGCJe5nAile93uKxCRoaFi8wYZlPk21XhS/6MhF0a+0fSYPKIvoVJS6OKG
6Wlh7oBb28CJoztnVg9EX4VujM57AlEp0oqDeR8mRQDywyaSS2A7LpmiK1T3wkHzCVW4suC+M6kI
l8RTzZcsOiLgEqQwzIRioSvziHTAs+jOcuYWUIusQezYJtPxXOz0OJm/AmGNxmwBjVxcQsPC0tV+
Yt6jovl11Mmf9NYboH0y7B6ae5MgL4yztaNkKOD4Pp8aZ6OkGr/p2qtu/Tp5xKc+q/YpocZhn9+E
77YW1OR5wn0NOrZK81viRNs0QSkd7i2oRmW9i/RjbzK4188l7m7elvRR1M7NrqXaNsrj5JDgvu8t
5LSck7jYrOwlSi92u4tpcpf6pCE0IuCIQhNXqKtoV3t5M+2bzrpJ+mHQFKYxaA3unQ40PsAYFB8S
Q3VXFucw9xv7kBA0khZutKD/EW6vPhr6xuWT1qLFc6UzWvN4JXD7bc3pt4/9wYk2cbRjgE804d2y
0IRiAYUTLM+rJQJJgf6DbTlPyzITUOLJlDt4HAr7qGaEd3CCSio4wohBFgmnDTjaBj4NnClRbHI7
MDp+mXbHCbFWKZEI+FJKHtz3HkFjEYZkD6jvWXVcnjsERfPrZZdOmFMNYh0S05fJMWg/pYZ3xGjs
HUpeOXvTJUDcRmiM7jyhNUri8qChm1x3Jdu7tmWQVoc+GMJNLFFQ5f1XWkz7huDOoJQrlgZgpgsd
+laKSlvwNeT1Lte0rWyPv4SFPRu8MEAzec0BQo8LSWFLFzpwmFJcznr1wQAeDtBIEjQ7fZJQHIOA
Z0c8jBBJjubE26ad4eYiJqKOSpofUmOYM00L9nJ24FX8l+rKaTLL6jotlbRZSvsQWvnNRCvjF1CX
JtYvE8N52QSa2MrFbSml4wy2m4XobUTKu00Wc+OYcHSUfJPwLMWEHqH/fMWadCjzf7aIAbZEOOe4
n1FiSLEdJAM3uDEJdwRHFk3FTkqNtTZLa7kasRYCkw3LXfnUShWQICBkN1jByaCBKhI7/6xWBCSu
kYfXHVvgp61oTkmVbwit35Iw7yWV/mbY5s1AWjeL4uIoFKNOe2xNy5uN6BQCdombWqwZtFOtLFhr
bQ3BmmG9FMxUUbjRMLABgyDxTxPVrpOh4dTLJ9P4G/JTpA85Yy77eyGKvTMw3MRAvjpWdfjPazdG
QmIMQVH+tfW5yz6M4jPjoE25FCEcmYTyPwMxiEKVtK9txwZmAtpB7QUOY4xNV690UnkLT2Hb15kY
n564B8oyzn5cmJS2LQHDOtAjcn02KYwyUHruNPm56ufyOuW/Qtvh2k7ks3A/1uKFQF9ecvKqIQWw
gt8jdX+8oLv0JE2XStVXTsu7hkGl/ZmCiGremP+7M5Npw1rX9aXNHmZFfBe/cU8DJHX4WBRPHfCp
csZXO3TCkfisUleeTy18FpvB2TqO/kSzK8bXpON0PgnjyO6sio/jsiXWkVlu3XzVc+AAdCENI8ij
e50Cd+rPefceIsPqilWlAQXgKeIooim5lRgYols/IIeDF+BW5ISER/m3wJI5X0fVT9BamJvEJjl1
H8v70eINkq7JN+MQEsbVduQ1H82ekXFzHnLY68hYDw7mn8JfTALndiGmw/yKtQAvHYDrebjJ43fT
nCLw8LVPJ+z85JKbENNnZsSWLb81UQZRdhu0K3ctw0EV1xSsIIBQGQ9nBwcFceMn/wptZA+IhHFD
+jmNj1LbyXGA9Tej7TcbHPNcs5i32QvcYnX51HpXo0RvWXiTbfelFT89+C9UgUzslc5bUrz2ijvD
hHpRnMcyBMw4eUL8smcBAVwd5KLj/Kkoa6pNqd2ZSxQFnSOeVMPreMkQX6JCoPjXQv2KP0o234NM
MJn+qSfbMvwinE9Nf4V9yPX7fA3z0JMJpurHiyTRvvi686URgED8GR+J8F5eHXCbOHETVhVk3Yqy
wVe7dgB6JTJ3lXbT6eeVRt02EXrt2lM1Xv1eSv2hE38z4yEuf3TyF4z8qBg7RRzC1BWvYcspRTbm
VzX4OgsVpGuMi9TqNKebRdoavBCBIWYTr0Xk1iPrgr2D+HuOfKcHleVn8yoi+6H8pW8cZUR07SaX
/Hjw5OZt6anc7zHDkpFuFGlGvZazT9zXTncanzLy4jPVyEJIr3a0Uf6j7EyW20a2LfpFiECTQAJT
9qRIilQvTRC2LKMHEn3z9W/Bk1eWHXLcuKMq1zUJEMg8ec7ea+unEmKI+hHiRLOHHWYFLsuMifBh
qrR3ir1Xvln1udXPer2yCSw1YtDkF0QKkSZWpvNGa8ptXmp1KmAFarvYPlVsxuVTNZCVzFKQo+fM
b1Lk15MLZ+wIb4huFLpqJ7+yZ6j8BmPxDEgpvZPP+QCNs4S1RXZWzticjErd2xjlQ4mqXVGiuNNe
ZIcW2UNpvtF8YZo3yZ0Y9xN7caiuaLMMAm9AYxGkJChRfBQVxUKjO+u8WjRLkOahWe3bTaTfgZ9z
K9BPzOQ5UPVHM3sJWP1G9+CGoGqQQL1NYFKb27jZ1nQikx31AqnNM3QUYPYp9e5TpBwV9SH/TGMo
Bu0R030iOkPxXC6DlrQgWpzGJnV2gMpHba+nRzhy1ErSP2aYM4v46NOOQvpurMKBIKKfKC855TKq
r5FivHcuYiv6Ev5rAainCogv4+g2n4ejVdy8FOo17nLmEkej+671gmHMMZm1/d1rZiAH2Uh47fNS
46Hr/MlogI4vM5be+hFzbIJ8WcCvZTppuZsJnAzDU5q+zOyv+ngfjjzaCHYLut1m8sFrP5CXV/0Q
nAXC6mGAmtPMEeXhTdLd5tFrhJiQnkidvpVynQxs3JzI1/ZRz+lSPhWu2gmBA5tmFmpEK0FxAg7D
RS4LkrJUW2e47a2d8Hcmnux8XQErp0NWRS9Ee8q3oj/FzV3r387E2UrdRM5W4R1g8yhINSWXNEFO
s5AZCSabAptDvTCrjWEdW3lW9akzrFWSMJjPdg2UO56a8tRxbk6meunWEt3a+1gzS2TxzVAqVcG4
ROFuNhQnpxqoSgops34TqY38F0oXZSa6foR6DVvCsxcfoM2ThJAxD8QGY4sLh3kx8shv3TnYoX+C
gFZg08+NU4ixkO4xnQFpP4eUSKPa2Wi7Unj+fXNJxu8+3K/aJ+KixXAweNukpMzOyGDQkJdrxaVm
HgyP81q5/fNEV1DFKfuAt666EAYiDXs6H1POHEZoOAk8a03O7a3ThISyUwi7aXmQMdaGoWVgk6K+
yA+jR+NvjmaVZX+T2gpoLR6I9kZvT736ESec4hwL7fhaRa86UhzmG7uayYcgHwZTKwrSXepoe7I/
qWCnbF1n7SYM/IcanamJWm+GjRq5RyOl2mWlu0Xmh0SCEhYFlwIYJwb4Ny2CiMp5Mi37w4cTFI9H
KH5mE629qWcaYiBlDJHVBQ6QJFrYMb2flP2R0WcMno2hhrLpoASk49rgwQl5JUkzYv1LWL1dUguk
7A+qV5tZc5Yn7d0Yv/r6C0Tt23jGcXHuR8tDyQI4LdRPDp16I91bfX+wLQYOxZ3uc753f7pINZXf
A/MbOE6/6P42mA4aNLzeHJitnANnXOWc8oOa0ZEjXH85WR8cLJM6w5bA4Y333LHTVaC/6dmPSXfX
Nh3VMbe2A/w7bCBRO20zd7qpeJtapu7AKrY6StLeib+HWbIV6oYUy4n6EfMI+41O0Lx/cTJGpbq9
QIy50apDz3SQhunelB9drB6xl27GydlT+NA6g9LXv5qVsZ7oFWr9amCooUNuZcK5JIB0MZnFTonq
JHUmaqkV0d7o37VM7SZBda3Ta/VQ2Wqmxhi0bB6dCphvaN8p4d65g3qu3fqAEGKRtzq5ShMcQPJm
8mNfV0tdWMeyj3DJbKek39pBsFMZX40W0FDam1Ll7GD5ubaSD4KQN3FDfdrr24Jjrmbc2YqoPP9Y
ltdI3WVkThoo8vouvw2B4yRpeJicbyG+kil6E7VzTADIJUQ6RJi30PzvEFLvMw4kXpssOw9QZjIX
rfrOUtPS9QlxBUWaJNZNir7Q7tIbMp+Oiemx0QeII5AjCHtdlM6Kc8UaOf9Go6GgR/hAOPlPk39m
3ogAz4i/axHUFDvb8h/cJvZTHdq7tla7sOkx5TDkB+iHKh2r1ANPl1QfbbDBPgtHK+cNSDYwqc9e
e+ea70bhq0XOKd2DgjiGvEAAkJFPUOAFy8lmmBcAyBQWPqz5NF5g0UvbpU71DKp7WIaG+T0MrH1Z
FrukIvohZ7JHXzbHcKwZl8Z7wHcWyIec39yfenKnQdOF+dWh2+JylM7LEPEE+hzKISb+x7Tcuug9
MultRnhNmp/i31JHzfG2KdcXgBVm2CTgINo7CHmIqMsdzo5NTmOPMA181YyZEgY9vcbBiMFYr4iA
0He6/pwndIyU+yJK/xJmQChVv81tOs5GsxEtoy+nO/seXVCSjjyPia9TcAjWn+zCWaYtbYbum1be
FemTbKuN6ReH2EBYVvOkK9CcdrkuOaCFwnolceOeWB6GdaxqgfzmoLCpCir7ACMELf6epTgh1yvs
CGEqg22iR9tUC3EzMA+KOTknZfikdAFQkvI2PVnmgzXRYmerECZTQ78jZOQ1mppVRANb0NDqIkTa
x7yP96ghkAFImrt+s8NFSsKRAzg26oEt06BM1KqjaMXlt53MRzfizxzbfkgUxT/T995PAC8auy4t
6IvQry8CE/qddekL60UXNCgU6M6h6XZpyEoCzEkjzboq3xhJHxSLoKRiYFZBxRrsZKivhtx+CIJi
ZeXeKYyjjRvVK0YYiBP7Xdt7VMB4ZQtGM+SV5R7knb4icqYfGd4AmW4NuoXdbtbAtyMjShInpNWQ
NTVCP2wOdhS+Yry9zwN5j1Vv52is2RJrmdNh5hiCZTe0S1JSSMlR1972IeeSZE+fP/QTzmDhq0j1
l6D3HyVOwKiK9p4RXEibQUFSBs+BqG8RwB1TZjQuE8CgzOh3O0eD5abGCJbb8G74VccwOGk0DskR
vHP86WRYzX04BUvHc1HRRbwq4dYMjdu28Lc1MTGiNvdoxgiXDm86xXg3pIaoo9fU5ZXK3v2GAV3o
crHVKcqrsy+rZTK5DzpaCi3GwQhQ1W4hXXoLpwp3NlAtxw02ivnkkElAXwJJ3SUGQVtk42mMK5JY
wscI41bl1EhF+i0tOSZwKaYmhrKauUyT6Zixg+JMqRo2x+jOGsutT/5Pm9JkGLcTs+yx4v2CiupO
nJz7cSshSbKfXezc34qmOdoWgTT5azCFq8bKKGSyvY58w/RCPKUS5QExkfEI7Nc/NiJ5MFzz3Fpy
UXjEqnFWM8JhXU9oo2Cgeyo4EGlZockJHeLRkcRGU83pEesE/V9mIw36XZHI71rQnPqeerLomgdh
gA0utTuBn4+GU/1i2iTXjznh5LYANmQibVvSFkOQoZiKIHB6V03ZrTQBq66w8p9t0iWbKYWVzgR+
k7mu2pCUjL80F9GHVXTqkLWmcfByKE16MhrXWs4bGyYgW0bs/RaT9gKKgylPlqbRliN8Grjw+C23
jPuRg7qy3msd90eq209pkt5GM7uy8QIqVI1pKlmXS6+YynOqlR42QEtbtW316jruHHeGmp0Zheup
d68Y5cLsvHCdTvpP6cNxs8KUoLWRKZ420BXQwkQeGqZiaQGqPu/o8DpTz46gUYg3MUnome1/t4fy
nYCbnRVrl5SKqQrbw1h5sK5r9zmOkzP9vCV2RfTM0WuAESdEDVA72oPr0yv2pZGsmz6+GxVKFE3r
VrJOj3Akpf/UNGrt5z+sEiEDli5InlZAfrpWrTTd47nDq8v0yy4pJ8b4RIgMHpHwbX58x4HgNsxx
JjlsZR+AoU720DnWWfzRgWrGyrPzxgdTlRcjaa91+S2UD4kxcLpQ6zZIFtKJ7if+/6pDI+Ue4PmP
8RyAi/V0p3ewWUNE428ZcR9d0RKpjIvLfqgNWqP5Ohx+RjMybvTXaNnMuONdHcJy2dbUg9NU0MCv
g0sSVTtEfeuhHumjyvFnAi0xrL/1bnRPYIMQBwKwORqQQo/JZbIaIiSYiqfxOnLFNfPuPe+7n0Rk
TuccAuVCy5/LKlpW1SMeCkzQY/mihYKAdX81pTcpVuMGR6eCITZi68aUJXSCTQF75oO9rIsfXvbN
Uvem/U5SHToVOOOMzTojvCXl50SqBl4hJM/DTcpB1G7SLYqxTcT1a/YtjlhYZnRw9VeI5lxRxZwW
bQcy5bXv2XCI2GznZkaVnOzYWbbD86hHdKrydY/KqC1CAveKQy9pfWJ8owDk8MFvB0ZyGu4dCqq8
pwkRM4nd4u+snZfRUaBceMzHN4mnhdw/55tb3tgwyJNKW+i0hvz0aQLGOcV7nCvUtfiZ/GIVNvLJ
Y/9TXXQc6WISeg2HW/DvWddmeIBb4bif7gOA+nRlgG8yuvH9B0Lv17NrN0txvXjZuspBZAbBRu9z
cnCdQ4QpuGJ2TA4k3FPtNuO0YLjIum40SuPQvE+1F188d/EB8HY0mXR/aXtEyxQTd4fZgbzt9bxa
G5DMLFqATflt7POXCumHgepGr16TInyleX0T1M26aaJiW6Da4h1w7ge7X5OI9eSP47cGmergNccK
FxInpjV/ycU3tHCTjRU9MuU/j53zPWGjR5XX/CTwfSlTne0wt0CYVtiuHat/Dk1+03PTmhPao3I5
oPXS0VpDGQHGmd3OsOGq0g7KbdRKQxSJlGWhkQkhRLqMg3IR5JwrsuOUZKemEPezdnPwMDHSKu67
8tTkxTnr6iNe/WVLHT9qrxp25DJhZHjp9Y+UpbnrPpDTLbPpSdDVR1RnMzpv7GBVmxojAbqeC2hN
nJ+SU22jm61DGkjvJvqpvqecc8J0WJZV9oABkPhkWAHdsNdtDpx1sKLG2kgql44qv6WpE9O7HIvh
IDmPeIHJ7or4qVhm9D6d6AKy7jZvqvvcsiBnASx2Oe86JjewQRtv2MeqoG1OhTTSWyiBsFbtAfnV
Ieg8JGTwEBqEGLygEUB3InVeiDN9CRjGd4H3yz8uHXlTutG2t7u1DNV3JNBbn0q2LAinRsNGohNv
za7nPFNk+jbI9L1ON6Ew6fappL82IqCJqz1EjXgZHDqY5sS8zM4Ea4s9vZBo/Fx45dWvuKTSaZ9K
yRbCVCFklOc+dHQ0FQjLw2S1/sZHZL6tOZjO58ozvKhyUXrJ+zBlL61vUplND4OXLOvJ6VdtnQCx
TVrrZIiOeOysunMa92nSrHMvy2DXFngl6qR/DfV81hxt3Dz/CPKaXvNEg1Fjcluihi4zMVGkxCe7
Le7IqQcrpHHu8QVyTbYa3QdCbkGur/OLmdX+wovndqFlhnutV87H1xiOvzBRTNu2TM8j15HsmU/w
Fz329ErXYRWWFoo8q2FJ7hsMF1gqHs2pkwtkwf+gn/3KA/sdESTIjjQ8TrwwyWDA/M7uiXwn9BwP
12bf6/YuGoGMSrdJ1j40zaVG0iyZ4pKsjY7C3Dd9oHKQaFJRmtt4qu++vn7L/RPGBuTWFFIYLs6u
P/KzYqnjUe/o1tPvmIVjRr2KDCCNjuqP06zA1BL0s/rKjbStb6mXoq7fe1/e+1b8WCW5tg41/7aw
NCCfdk98MNgabOJXk5eJM4puLMx5EKs5WyMXD2HnrsFEzHiN7DoRkjilnOwscCNxat6ZwHdqfdrp
k37HEaJjaxnLB8UmilweVeHJoJ1DDsWEhAdlFQ8R1j04FTF+08y9UYBrDbRLUpR7iR3Xsra+zeyF
hrMymru4/CDbI2UhjGOcd0xpPeRR6aWSG/qwGBbZ5a6T8ywSA3q8uo9G56XIfvoy2COPPfpuRdRt
tBtt1jhDI5Mcg1ESLd1EIppg+evI3GJh4ilb5HExJ11SVCAfQqoEafji5IAmp+AQmDZafwCiCcYv
ffDPKasKh5Nz5NUk1PYnkPtbneSDdIqetWDEIhLg5+43RZ1vJtx0SdHcRV21HwM0NKHvv/MX8d0N
5pRteicYnzG94STfYyDrG/tYp+GxxSyO/QHOhhB3bCHraSiRZsyOzdzu/WUggnttTJ6c6QYKa+Ml
2tLPJ/xZ2lti/8BBFGbPs1yszsZj0VqrqTliJGan4nqaOQSHcyo1c2RWOwcfo52Ub0CGNpPnM/Yb
D6ZfHyt/XwxPIry1uZfWI/PIcx4n7aqPEIKM2pPpw3d4ijP73JtybfnOs/JnBlQ7R/gNzctErz6u
SjqZGBQUh37Sd+5sZk1xau8q8i4HEe8MwoFrv95FmbEkPSRztk6ubQLRPlXoKOnvjMGAxjV9iJiv
gmdobHSN2nnU0bMY5FKz82Ly3A1pjaIeVkL6LcldYl/o9PsHrb2G1WmSP830wTcwNAlSK/pshdwB
9RPMR2ZTAdZzSre9iMS5j8qXHEl8ycriOGfp4emZYiKSpuCnHdXrRudLa492C1ccxZ5I03lWyp5t
oTnzYH8ziNdQizPMnsu2yg/2RYW0B8ulMT0T3rP16x9x9sI9Q+HYbwzjLadPZZYQ6pV5Z5f5tR2N
EzFpq1B5bBD8zi5TMufBpkE0mE+aaSwKfHsYmraBd4dtbzWgToCddxMbNqRa2rkI4DzDP9pYyQTc
9cHAuxZSWtvOhYp+MWmnzkObKV8150c0E33djkjHdd17C/Sl+Ol1YJMWAHtU6gED8jStP4rpNaMV
1AYP1XiqWWvYd5DDdXSs0a/Y9is8J1w1Z9vWNpR01ORsXQJhIidc1wnuZz1DX46oXqezk5B31w5w
6b5lDiPN1FmKVC4CPKnD8GMykucA92kU2CwezsrMkrOFBc0N+7U/8iAN1rqtqh1qjjtfR2tABYMb
kX7EJO1tSQfM8bMXzR7PflaxbmjrDvugO0arYaSJWGq0BETKzIjsS81UH4KIdBH3/Ehdse5HYvZS
IDht7WKnb89x6HzkU3ekflvG48nu6p3dhLRw1WNs0CnNqq3qaZ0MDsdgJkRjQsCQjzwjoIUFH6bv
2SDAUb/1Ck4VJo1jzm8bG2iCGXIOsr33abnRXxgexijcDBV0fSGfuhLZINMo4uJv6om2Wd4zHUuc
Kluk2LC/3lBmGtznzc2VpitwGNAL1D9tqENvWiNyd8J6CR+cXybmQMjglIEJ/OtP+tvG5RGMDLrb
sHXU779vo0NfZUU1kVXVA43S6TRmasXkrcatEqfjpqn8f/DT/gQVCpONmWhqTCG0rj99oBOHtaem
FLJTUh2boDzmWnH4+pr+dvf++xGf+HchbSIl85wwy1C6h9Igwcex1KtgBP/1B/0J9SPqniRnqhBP
103vEyE3Fahh9Qn2GKKVdCkyfMGNsNJ1HdXPMhj/gbo3P2V7e4Yh4LdbjjQcHcbK598q03whggI+
tOW3zq7s8vcupk2kl8ynR0SJrADBmxQUIGFcos4I2rfBE9/DCE0V4CLCWILdGLenIA8udW1eOIWR
AJ0XHGEGR//Hg/UXCuHv3/bTr1D2VRXaI79CpemoqPEKrQ0Dj1voz1J3cgpZCVCVMlAj6FemP3qz
jFbS6KOVBoMW5Vp2yXRt+t8fv9/u4ac3q3eyvGwF30oJn3ppZM5ngPj6358L8tCgvcM1lab1qTad
fDzShSogigBPYKgnD3GNoxx3NMF/1v3XH/aXN5gr+v8P+wSxNHrVYiLBEqlpiDcDz3xMevdWutY7
kLf3oXfO8ZD948f924NvCEpeKSj4dfnpAuu61ZLCKbDrKEhZjtQOEwFoVGaDszB6UPVfX+JfXmiL
pc32bEsagkjO3xcponlax625n0gEAMo16igb8CkJ7+T660/627Hit4+a7/Z/8I5tMnaNaBXroe0N
5zqdpRaBuOSiuVcQ87U+mtbNlCX7ikbKwksAvlh5Mjtt438sLv+66Jl/+Z9vYjum4wCjYnSf0iBK
oh2KiHU1wM36+pL/+vw4Yg679vif+4nrqiVY++uMNyIXqr6pw3baOErbps10Iwe08mWmc460ONN+
/bm/lqtPm5zFaFjXHcC/zh+ZEZ2a2LNJxMbe2803NfoZZT/VgNk6CzN8nNQR6Mprt/0ISM9wEVmY
DJSznNNLh8w4BS5gICCQVo9VtnQWdYr7um7xtaX9MZDdKaSrVGP7KwdjY9UvKXTOCd87c/Btt8G0
d+tECi8JpvNOtRxiSiI3tS3tNtruho1CoU9oaQODwpNy1dWIl8gjEWr0nVPVwANiesVUTSjyDLHq
reSoMyB3S+a5UV9vsOxm+6Ehuhpy3q5I3gwVMPpBeTiRwFC7TB5LJoIB/tlB3SU1UgoXosjXN9n4
269reqjDHJMxivN5KTLZbf1q1g6nMR79klS1prHylWlBY3EDn3rcB1ndDxlxGCX1rTEFJ9ym3PsB
DpWrSA6idMY6abUZx0VxGcvmYuscV77+oubfHnfebh2HqGkhqP/0GCo5NhWGMLlqA9lQ/NKR8Txc
GzRO+0fsR6TY2ObWlnS9CURAZlsecnMclw18zqppYIEY0G9UJOK919dnHL8vzCPVi5Z400Lmo7G0
44xeUOj5t6UuIcxXLvDJlM7w11cyL0afH2tIrbpLzqMxxzL//t5OWjExjiP9rh0HNDkERlWdwfRx
KNydBdpp0fAz/4OXbPzt7glwlnM8gm0a3qfFIm66uiXNRBLYB09mYvyiuyQ9WIXxrelMumsSnWRE
23TpVEpwgDUusdM+U4IuKtyufa1DVxcfX9+Jz5nuvwoW4UjTcdkkbOfzup0D1co6ASXF75ttlZYn
k/wVd/Y2dyK7hN0UYY3JTawf4g7o2ls0YOZMk/HWCjpoxR7/VhuuJpwxUx+w65bIpYRzLQP66Qn5
VhVMQToEjErHdZYCd2EyEOx7r20Ij062HAdeRjU8o4vJ1tIpbkMjBieprgPz/aVDTNvu6wv+27b4
3+v9tHloetmCYeRXCOzQWmogzbMRn0ZSIQbUNaZeX3+cNP/2qNH6MvVZ9Uz76fdHLeu6qZQ6qTse
7iHdVQuJG1cQ9FuhWSn7Vzt8qotwkY9PisA3Yv/C4LFvsr0RkWXnb+hP3sjqe2CWi258FCh5IPM8
1folx7kB0wqa2a6OxDXREzRW/l4BkR1LDJJRXx2q6GCP4X1NirNWdFc3o6sfYgWMUVOYD+RYrSpZ
Ee+IRXa6yv67C7MrdjhEx+MuYHYrO7xH9kSzAfEXtnmBCSsHF4UxkOywyEj2qe7tXf+HpxvQzOFv
aulN3NZ7E5dYLapNgrRAckgGDPCq+2I3w3xKd7h+fY//pEyjrSDViKfXhc6mf3qxstyfZNG1PMKN
Tg5z72VoDIJvrpwQh2BtNlyfi7XR9uGS/PqjxVxF/bGSeK7hmdLmvXY/VVlh6QYJdBtnVVXM55VS
ku4B4ohCXcbMJUjbflAG6AeFFMEt8xu/xEpayYMW6hlOYZnvR951R1lXvYhPiWvvTN0wyBJETz05
GgLRQBL84weQ9wz56E3JbdZCOOg64n6cHeRmOjNY4rLpPWLhXcQGCXKeXJP2tQHscavlyc38ciZ1
uCwQofVSHSyr2JaEQ/zjUf/zzXLorM5ZYhxUHfvX0eg/xRBOX86vQrorPUycrY9bkA6z8T0mn3wf
hd3713f+L2cXOAMcviWLKRkP4tMa3nbCG8IA3I+YQx7FE17BkvjZxRG8AhKKDjYz7fx//N5/ruF8
qGc5bBm2B87108+NjamlXPAo+EhTJ8NcCxJMsN4/too/z9/zp0hjxqbPGPNPl2Z2YVE3ZU0mgXuX
pj9zOkNf3zzxqzvx1XP76UTSNuXQJ2ktV3aCUtW1b+V038UPdngTe7TES2vPwr0PXec2NMdjkFzE
tJybzyNJotAFyPLRHdRixGam195yl1020RAGcWSewJzDccaeUPa0Kw8WaoGerNYOC0AX0HOvsPaA
qyHL09BwIM111jWknuswzennWr44tLcbzJHdgPj2ZhRM0ptH14mPOnKIhi4zhj23/FDDxTYTiqAf
mDLQ7aCVpKU0rWXNWO5BadCR0UUCibHWAd3F2eQVruNso1mXzG0XsNYIHCqmW99ex0U7e/lzsrF0
dPL+Dhyh62yzZt+gd53GtUPjZU+4oQlhEoGxVy6r4NR2DON/+l6zKmN69IhUgpbkw3rae+hhoWDD
AtzmyBYmvl9gI/dAeTKDNLGk5ViHcgGEBxsfomXjUQXoAO+1/JvyOYjj5QyWEn+xRO4NQq+61ilf
rkHBcO69H6nLsGGhuaA8yacdSKq+UWhvIXy3yQqD6NiejAD3bcWdeDG7UwVZ03sohx8oySP7NuLG
pP2ewOgVzLeljU5G3VTW2sJHZe1Rdsjs6pdLnbvqL+SPMF35+p2rE0LFXJx+2hP9R4EOzuT3AFSO
rh4khqaz+2Pr28PPoqVJT8O4Zco1uhs/2vndtzKNVikE0vHDEntLkayN5fIWmg9WnJoxWrgaISBG
Cinv20TrO7Vwd9+HYq860CZr1k8T40rGvV7OsuBubT71+l3Af58sjKcYRYv3UZjfswzAHGq9Dbov
vUu535sISw1/p1qTegrMti6XZXr1vWsJjZ2M3Vg++faGzirqrgg6Dcw6bTwNeMzcNa01Qx1xcyXu
S65eHRxrNfVMcq2GLTZJC/19eDtgliyZiVSQ876p9l4fxQGSzX6CApSTEjb3MJFUuhGQyIfMenDH
XW9vFPpAW+1qjTO5cWzb1368lNpBNy6WSfLrUsgtzT1FJpg53arpEvc/cUboDq4DMhRuApvuUXSZ
Tw2wvLNqwyRnESVPE8j0b+XYrh0COBm3E2sChsVY2UcwUtBDbo34OWhPSt3oiHNreunbwEYCT+Af
1bdYCv08EaTsPWbNrsLbM9broj6ha4UA8qr0t7K+t6Z1G92NNTJXalUorq8CGQ84gSzaMg93Y7rT
/dzrWIvvETcmBw9UxfA648VMxTbrNdZh1zsI7END/Gz7kA6QsA8YuD+gCmC/x6cV76dxGUT6bSt+
CPPccC4AU96H7z0JoMlemXtXO+Vjsm5VB70HFNPsPMf9E2qbcfze45Km2RYhrSGGdxG8FgUuUiJt
PXkBZ1SnB/waxUsW3SV2u7GQv3JAfYsVLgG216LTmJOCd+AEFuGiE02FR9uetVH/au4a82L+eSXm
TEALme6JpI74vUDsisofy5iVWGjpXVtCmKd9OC6skXRZlHg3Tp+862O0TTKT4INAf5yGf+1qfwnb
Ehb6acpT9lHD+rytSVeRGzVSFGeK1Azd0IeVKn0mTl0iNq3tPIjO5/1wtIxzC+9uWaabaQTyYU2v
ULNgAno50mKNKFbhjOXSNDAx2HQwOwLsxch0K0q6a+R6J7sEYaz397oBIHBgFnnpcn84RbHzjwbz
n9UIl0T3y+GchK7H+XRbrcatwdNnGEqrGFNMdCa/8JwoNLATWNt/7Kf2vz7t06li4NgXyS6GkZzy
XEUTKa9tXYsNEyvaJrZ/wW4J1QpDtEkFBvEcy+gQB0QZlicrbJ5hl67tzD2bHvGQteZfEzE8Br1+
NaMAE71eb1rTtAAmWdHGb7qPFoEHYmFmYSNNn8Ixrv1o3NDIYA+MCYNjCZS2JvdGZqGKm1HdbaxT
HmFF7oIYGqReHFBvPFNnfPOb8NUhKg8hS8JcJmSiivlVbsaabT2Xr24l1b4fumnlF0W5iofp3HmR
i8te35dJsa/Nf5aSlIV/eSskuj1jrvAs15sLsf8Uk0PMT+slk6QCQI3TeVRaJCIznmxg7iLg6xma
Q57TOB1NIdto9hF32ZOFJK+jjc3gihm45+7Smgl8M/3QjPI1NtxH1UavdVXehogwoybcBnFwhEim
Fi3S0kYC3AtLWLsR4yn0Vv4bhY9qzSVQ9q3nI+Cv5b0CAMYs/q3N4GnIBFxNeTf5bBCnFrwCppuc
eiKY2J4DCMEA/WWDszWD1gR+oItHiFD4tgDoZN97QjTsAd+zgOQVs90XsrppmgGUjOD5weuh3Y8J
jnHVfER8LITX166pTzrzN9zc4/jeld1yqMEW2HMpQ6QnqdTSDamswEBx0EwV4wMDsWKF98Fr9Wuo
EUVgEIaAubgTDOydm1Kb4JQkXK57nAKoqxI4NaJcwFD4rXGPoYWR907AnSRso0sp2hIySJHKln6N
U+rMCsDfTYq4urZtsY8ZRE9oxPo3zW9/1tLdBF1zUEm2G5Gctf60TzFEcZZYTmZ513DZJQ4/Eerz
QPlWWD/KPl53yl6DXt9aibNq9OJiYJ6yGHrl7d3UaHDpanDOScK4VZ3zUYdGYa0bN7wxAwBUGL0s
FIZf18x/bTu7dLY5zGKEozn/+yPZ+SzOWTTzZA1VkNXQfpgqvTI+uLolPTfdI1fFzu66ZpzWaAMC
RrPpISmF8Y/JxS/ZzOcdw3VpGFqSlhAN4d+/iJZMjt1kzrzY2CBFjBmg1RCYW7YRYJimhKyZkwQ3
aulpCsf7Msh+Rq171sbh0vWB+MfaNy9tf3wbz5GOLTmaOp8nXpxTmtLmz2kRU4zmUXUTjMHFD5sP
Faur3QCeD4fbr38L88/1lufD0cFpePPi4Hy6BUhPche0l7vyDe97ltB7N9BnqM1ASlgP0paXLb/Y
wn0aodTUs/haN+5NWYISFjfSbW8RqHxUfrunWNmOQKZH1IpA3WBnamvlQaEpJlTIWfcCWmr/9Zf/
lXr1+x377cvLTyNJqflxWetEW3abai+WzT0kf80AeEmk75LUiz0B91uN1pD61j/L//3p+e3TPz/G
vovJyWj4dHFVR32pLVr09Ytkm+yzS38frv/1gX/9qVyhz60Bm/V8/vP/rOS2FjZ4KjRvNdOt6Y6i
lezX2aCdYpVuv76zpvWXqHGu7j+f9mnbZ9A2ZhlNc6gJ/TaLps0UPqawKGOhbTitasnPkV89nfKH
1mmzpSPRswv7lfboTdW3h6g/gi0AArpwiRGJHOvW90k5Vh8E/ZZMEogTX9k6QmiBmZm8I4exLjyN
kN1jFPcGv2CasMUmrGkYAzqFgDn4P+rOI0l2JMuyW0mJcSMKUPCSyhwY58TN+QRizsC5gu6pV9Eb
q4OfmdUZ0T3oGvYgJOKHf3NzNwCq+t6799wz5iBkVB0Z4mkmoDGjSYVCToOnKot9rhpL8qugSdm4
Y6Y4gYRt+jUIIDCh8HWtnxiOweCjHrajc8C5Cr8ko+yZmyDE8R660LmM5BAJ0Kd+uCVRAd05Ccs5
Crt4UdbWzKMwYPh98NOnMpdLJLM4YfdQXZllPDUl6WMNwkrOaf1XWrymmHO14kE3HjOqPM4FKDy2
LXenGhDd1SBHhb8YcgzEpXHDBiTLt8zB9WQ/JDBZpHXviJ7w/RegL2V3TCwOg5GOKaebTEkWnK7S
4jPWHtzuMzK2jgmRZVmN7qpFzOMzAPKv02HeTif3As1ITu/9ozfyU5SPsvgKKZoKPV0ZMcqw117L
ZqXxNRTvogcrjVMBal7us0/xK9qEjOWfef0t/I5+WrBy231iH0oZzEmIXRr5Ro12dkuRMemuMmMZ
MLVCT2+JtSo/JL7nqkFT5zMXz07EMy8M89qNH1p+1+W7YpxKSA9hhyJbfntE1tslKCvIzgRSVDoz
JP0hRjXVWNgNhbE1HMISguvYdacRArY6ZW5zc0y8fXLNZ1J1Nt30mxvAJBJqo3QJt3sCypkjnQSu
mGe/Um+JicOttnPf+ygByUagUJuAjbu5j9pPX8ZHFwzQgLIpcFIqb4AlEivytM0bFik28V4fA6Aj
7bIpnVWMAogR8TKskketT6lJ651pHnKoC0Q5zBiWqm3NE4LJWTzX9KBsgKlCHptu6XR3GA+6Nzcy
fy6nIKgJ0MTZH2idvxtw6kL9jl2+ziyOHw0Dz2J0bf6B6DClma3H9MNuXzR8gS0HmwEJNWMFvfvR
+4NvfoY97Mmr5s1ltHVwiJnBuIzEGuyWaeA+o9uSw1aObahpoH389KC23jq0z0YKLTKcG9Y464lR
cgmDkK8aTzJG5gCFZAuuPWp/1F6HtQgBCSc7meKJgBD04eabSr8o6C8dVNZjjBqasLpB4ey4bsSH
YTH/4yhPH9a8DtpqHDdW8Rz1K13HPKMRw8PYYq9Ma0z52KsvNmfW1j+ZnFRRsJ89/wuY+UwnR7eD
pa149UXn7lVo1rSYAdQYgXwD2UaHcwP1wYPS1albf3zwjfugoHoMXxOPDwKklqpD/9J0mPPDE5EO
tvo++Bg06pfCkhd7rGeFGHd+xCyzIMRhl3QLrG12W5Bbof4I2/5Ikm5yFk76VYPusBcf2xw3qWqM
39y5CeNyxcSbkVeLVBzFkCxGQ39w7NdG4q3ipOsdYsksyOaSbbX8IEPcyxu3eaR/48cgsrJ5XENa
7ua+dsy6feGTD8/OynFUStaXeRstO7TSOMyNDxCyMlHXVd5hJTj08drGYkX/zwY0iaWYO0kaH6r8
dIurjTs6BK7mBzDy0Kjxkri9jxGfJs6rxMAdFbLmrVRtX/Q3IyOaSbmBsV6ExWcSMq4oFpZ/tJtj
rBF0d5E5U98WrJUzbwgaMsViIkIHdB1cUNPVV9XhjvOBhR2d+HOId652ypOTpoPgN2lmrku6kIL1
THLjaryL4hzddpewgbrXHOe0250ahrItZnTNO4opRO+773eVvYXpaOT3eDjaSOUFSfEc9o2XkRuO
CCbYrRP0PhiMtW42c2m+IrltsgeZ0LoKQ3NpwsfT6VzJSMyN4GOyjnXRU+Abayu2dqpNV/O1Q1YY
AK3Q+I1iRN6DAaglW0ocpwVeqtzxdkP20wbu0hhKeD4Q8dBGqcQp+otI8Rb4LXC3xtcIb7Hesguh
qDCTvav7tM7QAvXkBZDKsdSHrSRiL4yWOd2AqG1mtnIxnM+ucaBTTrfyaeyXQYdZnNGSBS3ehU2c
vPlQCpQfBQJXlL4M7jkrLybLaPUUcq9Mjys1qFavaTrZOpRbXD2frbut3ZM+3vIO04ydLzLsDw6+
NLU/ROFPBTpb2+blATkGj+t2oKxAzJhivAoHfSaGpVKvhyiA2rX1Ig8GMJ9MY94DQAIx3rWGkIIF
1iyPoD8O3vjylVnW+xt9+JYknoWNHsPc6J417jqNsjuNiVioSqi3CblLfrXBnodhbsS68TUWGyvu
kC3LgwDUokYYD3zqZZmuUhFDeYcH85A74bwOvprkKUVkG3yRBsHlvYT9sYvMZ0LX91kJt3xMFi78
h6L1lzqocYLHiMarboG8xvH7QLqp8EeE5hzgTG9VdqvRY41GUl7Q+qoqmNjqezqMa8nyjTlg2Ux4
FsH3yu9Fip8tUZfE52xcemWBRj8PvI1XtzRncRa6avhaDjQX2aSqyTIsxKwa4jluBmTdyNSD7gDf
dk+wldpucE/q7tXrQKuNRE6Ba6HUVXEt+Qhqa6df1Ul9jsnWSJOHHnApGlwu3WdCzyO8y4B7rHmE
1wrW5t6q9zooVmUTbxCxL3QrePBY39sWXTn9WoOIMOe9oyutqFzqRSgeNOIXSEEVl6jAOr/IlW84
QTimUUfQ4cTJ467BElbmXkPoG69wQTAqqLp7XOCiga+/cvVFES9tUUCp2xYwe7jJTcAdKPtxNn8E
5XNtf8GOCo1zas5jsefphnZZeqwzCx+WdiTRYB9Cec6svQLDthg3HXjKWs4Rqejtq2odhPNUeXck
x1mMNmqFepNQPX7Al8basTCO9gO8NyM70fibRWi5u6eiBsnRPuXa1h3I9cxuSXw2MYPHnBJWtfKM
VYot2WzgZV6E8WhpeLl3PBac/0Kx8uJ1QaDwKGCwHpxyYzhbVT1lKVG/xlvA86E+ajmuJX5/dvll
bi5C+6NCG+7nS99di3Q1EJ6g76RCHxYAYbBCHSFzIAPBzMZ3nrzAYUvM1wSxcmVfB1xQYu3JbQcG
cTwJ8ayxiOQEhhSwALv6Wa8WZbgtsMDZ4tR5L3qz9spTqz/p3SWWK2W8kG5Yp5joVAiaZJp9C/0t
SbYOMBQOQOY3t7cOPmNCYbKQSZxZBNRY1otuAXBsbz2eVug9xNyPRwUAd4Za6oyfNn/kLYGaFCzE
DCTKdstcQSWqbSC3Hvk1WbMZTF0MV0cHqIY75xmMtDl2qJhzgDzh8/Y4LKDd5BBXjRtYrZ2x0Y2X
RmzA0GUBl2or+58gXHIQmwI7Ko0enPtmWYQ8Nm/S2/np3qyv8PulsQlpajTQeWc1LgTgYjSDjjxN
Q3FA/EOfWRG8wyKoOQTt43oHeEtX4KRuWZ6VlwgmQK58ed3SHE9e9a4Ob+AKSBJo9INi7q3+Bqog
giUvAR5vaO8n8a6OFgJQrL+qVVzVH9iUODX0791403QiNkk14tbaF8k7I5YkWXvfDTcVHC3gvbng
bH7V2jeAGIOzdYgybK91tHOmyR0YJgPeDyOfleeukuA1pvsQbQeONTpAyRpiylL7GshljF8mi0F9
yNFOuep+koi1yTO0LnZLQP9NNR9MXBungpHDcBgnD8OSA7uTg/CdAb1SuGQdALMFG3yAY0+3wBC/
utCjvIMBj82g2eRN1RdVUQa+v+7LnxoIc2B2r1Gn7Uc/eMjs4aKVCQls7gsPf4dFJCbJ0ppbDegQ
ToAsXumqJ2eJUM7gQHKLDaPXXQAjiJxHv7w54YrfQtU2xbDvOoiCMKV2qriC/antGS7K2SDWUEcN
Gr70E58Mg8iz5RDivYgJNuCQgJy2k6vKuqYdcPN8idtrCs1wAEyy4iSMb/p5zCGxLU7JsDWngePe
G1YawTp0Dbv5UNFbYzxGQhYIEYax47nCTMrHi0oqJFGm72/quA4AsvFjFDOvdMAfz1C/E3ZVX4sS
cox3lVMc08Ii8zGRV5GtQ/OKBdb3l6myyxgY8anUBoNCLvtdwTwk3Q+pP0dTLNGe83LuvvX5layu
mUjwnIBe5xKCU/JnRnv4ldQVAmXAVP5sR08kSYY8pfnZ5qkkb0eFdFEC4+33rPSgIKcjsKpcu2Dh
WMeifMqzo069nJy8gIDT+CvFalSC1S2OaUg+xaWMd5161ssriH+Hd/QeDY9EWfDjm4inTHnMIINb
hBsSktb4h8hhJooXvntxGFiDaGE38OUcemLTrqxmQjOM0NbM9OCN/EdpvrQETAxLCDa6A9iSVQK+
HZmp2KdAn3R7PAcU/Gm1TXnIucrwZtXyFpA1lj7DOYLk7EA+kFcLAnKMeXfJE8IJpCNmz+If7pNS
7pxm4cPIbTYMrACLNwPwTMq2vN2UHN5AgBdrfDYm7BoULemm9F5MnxtrSdYnHRNINop68Il6FhjZ
sICtXYbBsLY/K/2UQ7AE5gASlWg8yuGZrC8uNZm9YtzcJfuenLHoSMzfLAYhtevqZV89Z8mX2+Ee
XXb9Q1mvAnfHrk8WC8Fpa2u4GpjZQAwMrwo4eweW5CsIGjIa3G6j6tvQferJERUHs7ubCFlyDew5
FuV4um6sbGl87Fzu7HxniUfLpUa4jBhBaPAq75pxMMMnI7+xyZCSGfELsc1UHKM/dPrn0GT6ZlMo
5zo8m+WVXgkdCIiRPXGRnOqqOeJApnXzoLmFSLkcYnUNZpXz1D7a1a6wjw6TdWHvs/TVjFeMplTs
mxrH47V0Ng5ig0Y9M8blCGfEk04KyxISp1UAVZVxdu9eDOtTRizxFwdAmONMQNrOeLSNZc94JUw/
KviT5p70wTQlhXjlGa9tfyN+UvTXAbJ0u3HyaaXItZXGXVNl73Q76m6H643rb5QnZI8zkD5EL4GN
GfqPJD0kw5uGBCD8Cod3Duxlesqne/igxrsKzC49ZySehbFBjaDVsNtYq8zVUO2M8qUbFirj74LK
KFnV9XMY7nDL5dY2cvZgdQCpCG8zaju4MaSsrXRtrnMGQq7Xuhxy3j3/zaakH19N7eZ5SzKcZLcJ
Ye7C/Qu0D0+sW6qTjizuhdnvWmXbk+7pbEHI8BO5xWtt7VvrwVbehuCzjg8EzVAYB0gKtZMtVh0f
D0ZAFRgtVfkOi4zenEZ9Ifo1FUv1UQUHgn0NLHHGoroN4xljLbCBpl9lQQAJ9SbNh9ReWQkFHZoT
kO75vW22kbsd0pNrviNG4KAk7VOlvebWUZBGPtLwYO7oP3Krkx4hWHFIfibr8CE1VyotYjEhX8MC
iPUmL591Oks194Lmv9OBCYJTZ0LdyRcyZezGqLJG15hqC0Uzti73P37HjEiIvKJ0ndDmayTKOZYs
0PSW92YZ507ddbyJPe4SF/wlCXzoovun2F0Z7bNv7jP7o1Gf9H5v5/dOklzndoxa5qO1bvuz4RGd
Hj7l1g/rAYd8vV3ZMMvz4dZQ39vqmZj1zngF17Azewxe0BkyTtcElPRPQjkIxmVCzpUXv+PosvW1
p1p+pP4toE4AbVmmtzjFAv0sman3CKrPrcugX4d6zVjK1GkocWPWJ3YCx18ABWPyVTff0QDTdhMX
S9/YIDyHBgvVZFZ3DwQVud3egEk8vo7Ap3NmxgIwAUzVwlor7kaaHDgSGjfcSwOLD/oz0WL6eWjF
GylTIywuPzqNxsqjIM5oWs5LinPBFSnNLUkECh0n9GsjvEUHOUqI13pfO+ESL2Qjv5OIWEewIHB8
MK4fvfGzw/ZqoUddR8nWk3sCvcb40kfPyYAQIzr5xacxblKGTk3w0fQ/2qjN1RLnFnlBjwHMR8SL
JGARQTWyHZhIMYmkOOjhPrUWLh57sU575ldLnO4u2N/Cowg/A/1ij+zME9lbrTcri0OXXI0WyvBi
gj7BM1Q5J4vqwUkXtNa6fA+ato/PjNRJjcb1qoQxLPgz1PiAYG8YVWg9lWjZc19R0dTrkFBiuG7B
JgPHboFpUEFiPfnpzm5Ovs4mtPYI2Q7XmA29+omkBav8qurXyPwKU7YPQl4WWrt3tLfav3b0TYZ0
adALIBcnL68pkVFKAojwh648Rfzah7DZlbux3+XRGxUG5fJonWWwr/OL01x8f5f7a5dpummA61ug
WtCz5xx5L12khU2mJnQRw4DwxUIev5Tc+PaqtPaVg4UWqOQ6apeFvRlrY+bHO2IOsXvaKZqMdeYs
IXShcwLFubaiaIbkxMSzv0urR5f7EEjW9EnJYde7/YzIConmo3khbegGgGSr5kudTjGHoWTC+j4L
cTfpL+qP0tqxXSZoZ+IVsZUWHl7U1uXKKdZBuB4LcPNzX90OYAEk/Za9HPaVuKANoYfjJyQwgufc
qyQR0PWNtgA6cpCtygVsg0dqJhUzQkA9Zwejfyg3bssJiAflw1YkN8VVwXRtlB9de7DNo4xXeOrK
khKDdIENw1+pb7OA1YRbEjSejQbAqU4GqQAG7G4myw6cFbwWWfIk2lWMiby2fsI857hKgbFRlINh
lPNM7IRzrLSNSeexW6nZmU7ORJ5pWJvIPmvCbVq/xml1jXyUdv6r5j0YfA5Z+JQ2hzTf+Dqe2pG8
inPoX4P2IhEk/wIOgqttflSOUP645vlXWZLd4uzUgJ9Wvb/QNFof2ryl5iouHgfSdhE1u4QNGNxM
ZO9K62T0kwLu1sREJRc7+F1F9Kth00W3xEcCRm+2cI5qSkn/3Tb8vTcHOGomnzJwxrmBP0Tdpx6r
BnsNWag+2tKMNneFGNANflTtyRtPACjijnE76eeJE8BtchZ5GCw1v9l26q0Jb1pDZhV2pCr6bkps
pH5+Spr2FNDPmEJAIaONMWgXYK5w34V21EkpKH84cDE5CeQbgQwIIxHWzcfsSyQFQSUr+v+aurXl
ZyoimJOsbQ2pWiRozRU2LO/Fry+qeOjNV11cG+kjAxtnGdWhUrNMIuuSKxCoWfjuT9GXyl7T2ycv
1I9d+CpLYhMvlbwRTF6GP9J+kCBD6RCK7t5b3+Q4/9re4MEbiBtdlAQB/kDQ90s1f/SrY1J/le6d
hWEgJgJQHcYvY+X4JBpe9JE3y1YFXED9EfQA+P1wYFr7oWiHqApBG1Ly4I0As2n2tI7OIYV8oTO1
+eZ4sYzzhS1+yL7qqHYUHQexghvovWWcEEQXjVAeXDWb3vzOW+9e1rAd2BHzYatawSnOjXVBkICg
F5uwe6h+DYOSM4zvta9DT6aQr5evvlLcVVziUFSDU2ifwoguU0AjJRi7NzQfF1zN7OSadUkFdYOo
0D10c6OLnLnZhjSKzBYIdQ2BsN5gV+F0YezpVt0a+aXU5lZRgw/fth8DpySapqeSAe/l997ND+8o
wWbY8wz9JyjA6xw1kqQ8IKpkbu49m4RfQazg0GfPaY3TP3wx5LtTd7NU22hpsZZ4+8M8Jn/Bpeeg
WeuSJaJv2c1buMlYOVdQKnuB0EPJTl3whBTesoG0Vw+C/CdUi8coSnghqk3PB1XoXDhMA4RkJKfR
SfOqTdlcfXZetYRDHV6sdty2gz/prYDeHHrg4lFGbIO9jq3rSE8fruasDQ7F0KPMc5iKU0hq/i4U
gFsUhfsxkOUKzYsx7xUYf57BvtEOyqvmGwcZmXsBZXo+agTNJFNbUHEEcyW3IGMbSn91bGPtahW0
fDoUeha60RaVjq6jfkpblosKNCNApm1aIAXkOA+rzeQ6I7pZt6rzEiV0iBWH8IN2mSkm+2m1IM9g
kxacyuuAgMuaNZR8DCXrmSIV7BVsQyb64sqAmoR7v6QPMEEderx+LdmqhiInSp//5ZgBBMcqf1Rw
ITJ9jKAiw8gDS04l0mdRtYkbNKIRIhUR6yyWDYM1d4T+MJJqVlHZuTmd0pbwr/ZFRS0oJazvhAB4
Ixq/RZjAaLbR35aBffYa72Z3GeSSwB42VQU+mMokQKKq3ITo9rJwe6iSNMFjGN+iFNo8Zi66KLhw
MfeC1jZ7twJ+1VB1m7caYU0QU9LaczX75h6dpxKUuwbQB6OhrnDU8VAjau1O0ZEEdeWL7v846D/m
/yOyPH4ZG+G4hqw6gAdqLtvrWN8b9xGmxq9h+7999v/uf+eXvwsW6r/9B3/+zIuhCnHw/emPfzuG
n4CT8h/5H9PL/uuv/fFFfzsX3xlRJt/f8ngv/vw3//BCvv8/3n9xl/c//GGZERk7XJvvanj4rptE
/noTftLpb/6/fvEv37++y+NQfP/1t/tXGqKMqUns/pS//eNL26+//qYhcLTRlfyL+GB6k3/8jdM9
5cXvdzz397/MA8DhQVjguvr7t/7j67/vtfzrbwAef9cRyBgYFfg3Rn7UbN3337/k/m5gsMc1iz8d
LY+GkiXLcdHxMv13HVYNEERdUx38FCbS0Tpvfn3N/F3FgTC59CHrGCo5xL/98wP5w6X735fyL1mT
XvIwk/Vff7O0P/nWdWR2eHdxhdgCV4Mr/uQHkE5a2gCm/aVZ0ZLqhAe5yCQoKE3ZLBJyBXQbiqY+
TXk9Ei3njkiALA/VzSfre+YGVgRug3F1F5j7qDAoaW2Hw0KJM8Yoydywaf8sc5U+aucTIFQnZNIn
+bfZ5Y9iAHKa24V5rvPJ4mgH+Vbpu2+aGVDapLH3owJ+flRQkDEuQySG1tup9a8g0r7cgndQTEZ2
mQidlVpZnCR85QJ9FUlwJhSCz9BA9EnOOddi9eqrtGA1HZGMDRhnSPRI133eg4qdygsgonTW+8w+
t3ptYKKqt/Yo6DlXdrLISqhadSX4VWs6mcg9zZmJ+nHtEMJL99uG02uD210Wjj/S58Uupan5uyso
040WmXqhRY+6HfwUqjw6jflgaRIwYZvp85Z25QyX1NXX80/Eg2KOHhfLFIGmlq9Zm8ilLen4Nj0X
G66cmE7aTZkjxExZ8HLzHuqoo6UIwoWjcBSFtnGHmQeOpXEes4aBaqKKYB3Wo7keA5cmTTeFx2hT
My7Jh7nls3BnIbD8KPO1vRb71RJLnkOkd0R/pISMJQXuV81nwN24BfpgPk166XpBIKxtbxybVl6O
ynfmcw4rG2Y3jYzv1jQTrMv4DtH3Q7fVJ1Xpv4KueqtM+LmVR6JA4akx3XTjOY7cYqVI2q6VmSLX
COh/FYkXnZmG8+nG1ApNaBAKp8vo3Y+kBiDQYVcFiriTagNSWdequ5LDNkzsJCIxaToIQ1K+BE37
SEDpqfNpF0Vmle9zxIO0ielhezZ3n0706EIZ0ueYKZSaA2XUSvvGc+oswoDoEZTqtJUJY+VY417i
ID0HQ3dLZMoQSMs3lj+d9weGkY5Ki1oWPbeN59DTGyF9u0gURA3DXtEPhRI96Jm4MfP/SWVwGjIi
uEyCbbGpOwdRx0996oWMivpu7VeohRKPsYaeF3BUggi73jQYEsVlrAeJR4SziKE41SZIcsKOjbic
j0HybdVYLSzVy/jOBiPxjpll74YkSBAAmvUjSbqVvYlVRvGy49OKRPJsRYxzEFGuB8/Jz4kA3NeN
6C1tKScJwMmSyO4jjhngxSD1GIy4lChOF6OaHnvZPZrS9mdRFR+ijg521E6gvyj0V7JJ3yBhEMxE
yEka+tuqxoLQ2DF9NI8I8q7JV4DqDqIJn7Umm/g+eJ5G0bC4NAyHgA9iv14T//waRPi0sx7Vlq6Y
lxbx8KxN2zPeShRWLAkRun50ybSLDG/foDusYwNLQAK3tberbSwMIJMa0ZUFBqMFrd9kG6hTZhdx
ND6Z2TNDBRJYFAiwUtd54tGi8qtib64Z6UPhBwMNYlSWmUGAHz68kkOc/Wo2sbEsO5o3Xh8f+k5+
VswtyT1ChpK5kwqn1kaGfM0PKbPV3Ck8BDp9TxSmUKbc04LUjwTqpxxp2pT4fOcaflqUztEztGHC
LwYaPp1TWPDXbTg8hc1q2/F4BMPAA2xq5D67kbJWxuF1VMQis6J9peDjIA6nXYZGIddWjY5Atdx4
ISpPmQ95gzOlvnUq9EEWqddIcW9gRgKokHT9tHh4po3/7IcOkjAveutt5S5U6sQhHh7zOvWXntOk
q6TgfF43iE2rSF6laveooxLuL0chZ4bPc5s1DK7Hxn+KezLsUkA/a78MqoeqVcyb4Q24bRT61YwS
YOQ72YuqxNkNZil2MYf6OuHWe4EFIuni4IPBATpTbdzvKnRAgp7oWPR91GLPUF/ionnK/fJqNfba
YzWci4rwwGgiVWX0IuootMBbWgjMhEpAUAJtWYHYSkvEgjjlcSPpwL+KJtOXdWuTtZ4zUSwGMFJC
ST41jXxopdFWdq//JAkUpGFQJ/4koFZdQX4fKc4ligiLkbDUPNJT/JQWo2YztQSKwdOimOQZyPTT
iKv7wBl71nRwRR1hvdR+/yr9zlpFbVBf+6DCNGd/A2BP5kk/9aTa6CazDP57b/TrQsmdrQyFQjOd
NKtAUzk4F2wzWWIXM5jh1GNdFGwsQ6NEyKHBRgN+3bCQEd7m7rGMCShOhYH73EEeg9j5M5jU2pB6
rYVfWS03sXYzQ1BY5KTbfFwtQcOSJEbIk/yeg1HuVLeN1sGomss47rWN3RBW1hW2vCaZu+2SKbal
8Wni8qAt4oEufV2bGtE3arcyoh7rnOvQ78y2VerTWKx54tqKg3fV6vhhG+9ds+WbGyAGdFWe9Bxz
JfynhPZx3fV7X2LwFDalQddLZ+VU2hv9xHweWKBbsgJBv2bUH2RDMjCVryFQa2QwVHBDWhlz4tA5
PJAaBaipI4A9Nc2HOM/7tUdRuCx6n4i8gXaVpiX2LggZuEVJNZCPxA/atGZAB3EkLMPBY6HDyWyC
MMBvautvqq42G36vbqfWCHN0wYg9SPl2tkmnxDTLczpwfK9Vspy0KVpddtw1gxmG65Sg8UullxLh
SYEDw8L01nMtC1imi0oM4zxhk9yzFQYnL6ok2Zso+0cntlaZrV2Hjh7p4BGVEUDn41WlSiYFccFp
n1A61Mqt7EoGMKIiSIlIawoXcSyC8cX1RqZGcYYhqhIjLrdBha6qtXJbNR6BeX5F1pYdlWhQDdLq
dDXbqCKlP5ERVaEQT6US2ePHct9ojCWk0yBjLuFGGwrKtaj39rEqdixb6RZfzIamNTN0VjgynIFa
Z9pH2k2YLnjjqVd+E1rRLs0Obl7dJfdiYKLuWorc5w55hGHJeqyFPiuTnpYPwWDuEq3CPIl6NBHB
Rrfj89CiLav6CB2Iz5hmdB9loFsLDQLrLMi6C/l0OB6qdBNl9Wdgllu3r04JwODabx8KlaYPb85S
kjVvfa1zdo2tpx5zw4wI8nguUm/rmWDKY4uHSQuA0KkELMBxM9wL4HrChcYQ9TgN+f9+hfX/ae2E
N+Lf/lmP/B+10yGv//Lwv/5nXv9fiiZe+M+iyf1ddTQk4wJrvT7BUf61aHLs6f8LHcwnFdW/FE3q
7yb/D9QXvi/ITkJVed0/qybxO4ZqFRzSxNIxbIqq/07VRBX2J5sSx9KpVLQ0ROemznP+J99XlBk2
+rrSWOQ6MlXLRbXgGdimPHmtrXCZJBbuSw2WTF5UO72zGG6kBQLkERiEH+qPotcHbAZevtValUqH
2HpLgqDRCqRB0ZjtLcxhoMYYZLa0fcrKxTWjcVJUFfYkqsqvzMeT6th5tWw0ZT0kdLttJ642Y5OM
zJzi6iP0Wht+IWFQRPghV4dk6DQMGCjEbNSBDKR9tVlnAo03naAeT3H0nEJRWHYi3mhxvumr9lyr
uUaqISRuUS+qgciHRnLSTfD+kcXZbgUT9zp5FWIH8znn+FySsxB9jq5Ul2YT7ks8sWWJrDjVSHAI
vOIjUpBnlYEzTnO1A1GE+47wqKXdpMHSiTCfZ4qw9pYYQhSzEnajLpqjGwcwp+1hgCNfjXPTw+Pv
dHZMN9xt8AiXNP0xgG3Y2d/LNDtIL0HKbydcDXcbtIzaudGQjxP3oVLWL33wHDTkGE3pOJ7GbNGW
xh7N9Y/t5tqyrRxOZpZtLEwFzxJKQoPuWk9Xu8o1a6Wb8Vee9rRk6+EnySIdB/w0QI/YOkBK0vFW
rDdcbCgMPcbzaSgOjlY1RETFt9HmGFDSSO4wRdHZ889pGz43gYGKcjhbBXMXByG9h81orvAkzIww
/6BbsFdlfDADSjQvRU8Twpzg0wGP39rLxLJ2SuI+umleMoGYGMaiOtoxrK+8s42VpLlJM56A9r61
K7ZKn5JcVvlS1Gx7STra26rykTz4XrzqZK0Cqs/ck+e7iOEaxE81ucAQGBsUZZFzs3uDsrxpBaIV
HBZhES1VmV0aJqRdMoVwqNQWBKWSUUDYNho1iKiBQbna+bc0plPGNNGdrnOVHLPEa/D8Zw95VyUL
szMe7G7Q1zZJzPT0zwh57sGISIIrb66MOtyDRIrnmZI8Z1bGKCcZ3RlMbxfnIgJI3/EYnE0RQLkh
HntDbnNRgKvT4julPpzOKECZFieriCwVSy3Mm69hyNQbh67i4JLElCfGJZ0mu9ytD5026vOysX+6
hvja2Psy0rygLAlehDDfRYrQLzUtAmYyZnkaW50SqvTsvW0Dy0U3if1osSeqHRlXyHkItxjAUjXK
LC47ZKw5o8GmiD69xs7g2ZNu51aVvqLtkzEy0V5UDTZd6xbautLrFv1Ky0TJapVZ+8s+aI3rSJTZ
zsn8e2o6b6kLKsZl/qJ33r4ugleTjsTGVsHqAPkLVhrU7CVn3mUv2yeiEG4JnYkzdRH51lOimOda
r6rtvzeG+mN5+amrKZKTTHjzSFfpsvTZPtTKB9IJfnJ6MnM9rL9DkphWZWh+IlLWV5Hl+suCDrMd
jdcWphhGxbHeO62ekHwHGFhLjIm11KOAkgzk/pO780quJDmb7Fa4gaBFpM5XXIkrAFxo4CUNoiq1
lpG7+dcyG5uTTXLYXeQ07Z95mnlos7auauCKzIwI/9yP+2zVxCIs6TYptsSImkMgBO5QWSjabFA/
bGP6MdncJOw0IOk0TJ91wt4o9UJGg4XLkYQtHNxwm/XeczAdmJRw5aFJNWDKl5KmFVRUQiwfuh+T
g6LkcaKqO9GVQuzHfR7xo227AXyonHfSuyPVdwrR1VEvfajZoZs8pRqapQiyZrswG99EXlJh3prX
MNth/EvxPTSU72ZUFthEm5m3hR7xFf87KtpxbS1VN3EDQsHPyQUl/lDtOOS+ll1017TDcJ2L4hPg
x22hkw8qdumzDC9JAiJjjoc3UcR0d6v4RmEmM2zzwRyaZxkySgoEDCbH1j/GZa82+lzEiYIYUOpW
cgBgiN74db4qcIKtYcvqnRxR8UNPXahIICUyYf20CjrJgdccNF7LQfQ2rvHJufOmlGy9OX+xNuds
QHu2rY5z32hadq30Qg/BQxpXzOqjIxLgvCkKB/+sudTUwbU0g6y7jTOeMkUJv30qmHIJTal5GV7o
92A3j5NZkYSqkh4fBODPKD2nYbXx4/4+pLO9l6TRmqXEbT7rGHwvT4hzanUnwH90DRbyrGtRbebM
/54b6LPKxQscq4uvIizZdncbUUeWhurNcfXJ8Yz3wdR73U6fRkzZbpXMPk5EyeaudhwgIZLTnam/
Gt96cCZGSYazPKqf3bm5mUFAS6ej0FtwKQd5+yKiAH8LNWCN3azcpvngKLO1guZeWdMt4bR4TYaX
YWmI2tnE066lCK/uyxNBlIFSUZJdtR7vIytRpwi0cx/Sp7ksjYGk0teY28c2je9o5ftO4+mzmuNb
4OMYTzBMGw4zh0DFd+TsnmjVQKShSmrj+5qaKYa2Mg9vnBEXS5oWyZVosvtQDxdlVY9xRO4JOfFu
TDBId5qeirpkfp7MYEEyVtcqRilSIz0hirG9TUl7PWY3BqB7T+D2L+glpzxdHaexBdYQsna6YVht
Vc0lHqA3cHrPmL7pRRLFGm+lNNGZFYJyKAVWstLeTnn1rdhWw9cznhtJ5g2WPgmHnONta9bGITcw
AkDB3U2VcZ9M+EN7l3Yykz6KsmL+3zxXOIfRjq41BZp1Io+RYW/Cjjoyj26aSh9qlyqyQnRPqdM/
xWZ+idOEKCej5JYTSsqpnVHfKkZiCo2l5NT5WUXyZjDafV8UL6kLec9On/TEC47628TyIJN4Oyay
RwvzAF8xbQ+tcc8B9FCiP0INR81haIlo8SCoKBk8BtnpmO+91sYAR5lyW5LFy0dCXJxQpaBrl66e
oWMd5Zn4FBMlzGFiRap/CTl0+PP8HWm03dRgq5J5zmtTzZ95EqwN0Xz4LrzDTm9l15wNqVcTrGkQ
izOkwIrWsGJf1d7PeRy+BgzqKa1nYuSUP1VUBkcdPJD5lsK4l4rOdDFNjx7tq17CI9IrqjWsdyDp
yXVoWuelFNgby1NfYdVNwtuojR5NKei8sO9iAFVmpLej3x2DkhoGo3sLA+9GluDaO7klmOLA5ike
Tav/EQfel+QjwcEQPhDePlo+sEelIalYuxaz6+SNFCYbZ3s2H6sMv01TDte1G+6zsDpMmbuPI2Od
OfFprONdGSWbhqkwJRXIpYEqH628OJPbuQEPcMmroV+NxLwCINgCekhhpSOOHExNifeez5DEy+o8
DQk1aCWTev9gBoTsS0OfzQmYvKjeKy7BcAzesYy+oNVuFYN4DcHfJxaiZlowIgoPy7R8cVUId4Zd
PgMP+kbWKlavDM/wLhhPU0ypj8P34po2y5Bzjstq22H7Dlmlot9cMU1yDsIuWQo3OfGPatuwR0ZV
vS57+4i+8ICysOsAW/Ecvu0qJsqeec5m99mzip0yoruh4wE6GLu6a5+KAvdwUm/bAf65QaRwiIIf
saZz0Q+Ihw7fail3nLIVPTPHwtdQbouT00iCPzbPZn2MrPYaZfXWSrDGsJ5Z1BbKrMLsThKGVig0
wmYAMJQco3lR/JZaziV1htcuSYNr35ObFqXZyPNLbqtj46YGWh9YQzoPmry97Xzre0iTifaw8dFr
2KpC3t3l2nlww/jY5s3ZVN6hcdbUyu7nsNiizu0SMZy1gJhM68qgz13Pstqk+jonGGkO8RFy7yVW
DR3UGRCStruugvQmDZwVAy42vWI/4L8aBFw0aBGe6RzyyYcZRKmcGegd6RTabrlESnHjmj4W8mg7
V+IoCoARhK45eLxEdntTNNFTVVTXWtAujuFC8vm7lb6PR31dR+KhsXwMxzyRDHIaSZMd26n9zuoR
a7KxLfGFTv1AcqN8m5zqhqo81Pm22wkvQnGi7YNrj7bd9oca0El1WlwqNZziglmHWi5/qyD62AFR
rJ7yaTyWCVNtUu1c+fYqyenxGcYX0Wq9FkXyRaj2MCHLsmMsX70ARBX7ns/KVPgDh/t6gM5gTAjh
RmtY7EK9Zx9vqtfB7AlG0oWyidl1W9VpzsydUYnr2ktOTorFtasOgO7Bl0SPI8dKpu9jtIn5MCaj
fjPzkYyZZ/woaH3qIaWak7UVHk0uYt4XfRasgpCEXJUtjUklWb46bz4sEFYFFg3kRIEaLfv7iPB1
EWDWLGevInBA4ac0nQ8jh2FhQSs2hHGfjdYPY+IcqiPaVRyb1Jw037vefYAtG8AlYy6VjPAGWs4j
Qd88OUEtN4FldzwyAZfFQG9WICVh6VfqSZnhLoxsEjh0u+CPAlQs5xZpvocvyIkq8Fd10qFGW86N
ANK5MxxoOAZ8QfSfNNwVasSKSBtolvj0FXc9NHY9nTKbaX0LBmfleeIWJvBdk5IHDjOBwTE3WaOj
+ehB3IQLOFDCVa8bz8flp1ws+g015tKEn1TZxqeWzVPgM9MPo/krKez7QOPbqdGxI8N9sKRFgHNw
7wuGJFc0Hn2YqfFtlN0zZ+pzklkXCBbnwW3vcbAeShXs7cz7zPqOvsWpPogaITICJ7ie7ZD64lJ4
23weH3hUTTw3so8B1jALS8MgLcy/zNh+l72bnNEcknWeZiT5CuskqfKSjc/WcEln0Chdc16tA/Fd
ldN2pKaLzo1zSGtETCjEiONobbr93TSZGJ/mR7lU7MTdhPPOuphhtnZT/VIGsjk1FaWpFCWCehlF
iU+5oaW4oeTS8fBLZ7K7Fkl1UHg8J1JKJbwJW0x41ykrqVrO90V36ypMjDpJid9Z9E3mCyU3mQ4B
ntzEm+8W/4mgbN4rMn6gM9yGBGWqMd2DQcICht9qaPEw1quyCd/murxwSlkHWUzRkNgjQj5I2zyU
EfGdxtqyQ2IQ4dwVCtiaau/9NFgnIUahgWwzs6DPyCzvSxBHY9bdtZz8dT5s+ynYZJF5Bzdrz2n2
vmGIHCugZ6qvHwfbwSxYNS9eklymlOB/V+onNfbXpu0XO7lk7zxHRzvTbX8y2uj2cQ2nTVkwr6hF
+EyV+ZMdOcS9GL/+qEZ3O7f4TAxZP3cjHVsMupu7/75U+f+pGQTYMUzLBcv1v1c0Hz6KrvwLe/e4
CMu/fP/4S4bE+dj+j//CG5J9/FHn/OfP+4fQ6f2V+D2sX8UYTdrWAjP5pzsEbdEwHOU78I5+00D/
7g6Rf5W4SZAywfYqwL38MS/xH0Kn/CvGkAXpC0USedJ3bfXfUTr5cX+kvCB0Smwoi9/EWuCXFjrt
7ykeVlvHtHXRjpQL/5vJ2nvMkTcAncCSSwwk8eov/Bpvto3Z2PbYoE0zIfy8l69Gbr0kbNPgO4rx
MGJk4x6d/V3hh5SdcPqmn1eRxI4/DM7lnswKigX96VqhU4BkSKG2zTZR6SYHiQQPYugUGesy9k5V
NpH2WI7/mRU9TL2dvY8ZNvQhmqe97CKSah2uhKLwn9Al8CGk4TMjcwfoYUE40KX4jknfYx8gUepw
vuQmumLPyPyqTqyvyNThRjcZkoIiN5wmEmeJbp6zhDb1crLtdSNUvmGulp10SdQWleOmSdKHwTKI
V8wp0mEdz5RJRrdWwQQcT3m4VU5J6xVZDmqHGAll2PvTDq8zdo+r2gZ73EmOTXJL2Pbcgj9d5wkl
YsIOnuqYpN8gm3PLwRHkAAueyFwM1z1ESasuHhozPYf0PVxJAqYipVOw02zjyvTizNjlaujLi0Ym
SHWwfKjJfLU4m3em1ewbqZ1rrA3p1igaNnd9eMM27M7xZtiZCa2husiw8ynSZAU2kPfY7aGrtMOu
MEl5N4bl7KVC1GEqB8fah2SYTAo5CoCCH2fZVqjgUo2gaucaA9CoXruYTt+IPE/caCZzhnED6mPD
WebZ4LBsNcbBnye97eVwIsVzAbLPsL8wJxC/BlW4aQhhoi0fy2XN4Qu50Q1H5LyzNqOd3IW5h5hk
u3e2gQs9lu4d86FDqUu+77zFrF3eWKN77JyBbdvQE3+EJbYSrv3AI/LGjxMkEne4d91uz8W2qXSA
DI6+PdgIxPEAzI2dPlN4+6vNxmenjCrmg1gj6tzYIG68FLVJY2QCH8DKx9OYNgca1S8gVi46qZ6Z
1r8bkYljnYVkHB+jkjQnwtHBztt5XU3JW1wYclXp6LVvMZY7bv0VNt604aLdsYx9p+NsXAVUfl6Z
bfCYu6x1Ywes0JttEkKI/7gTijXpbZy5qnpBcXq2AyKXCXfDFfLhD0ilzba0vLeugY7hu6fcIuFG
oBph2GyLVVjk3ZEO5CXylomN0uDRvep7LMTFSrLXxiw5ZY3keQnasQFowUn2ZfzDD+KHIbXXgTF+
K6bCCv5rb7X7BjbgyvAnUuxmeN3h3UhTng3OWLxVIv4KY4LnOUQWd3JuraG7Y/+HQP0h/OFhrJfr
KeDt1v5+aNz3sNOnpCoNUs3gXcb+Tgv/2MTJrd94mFxaZ1OX2dnX+dE08ttMzY+JwAFfOYu1PMU5
bfv5GSvAzxg4nvBQ8y3i7+g/GwZRWx91hXHoyhWWXlXLEXBoCdxxHk38bZBoSbrY3YcChCSzm07X
hzArPvyyO9NRwjzTISVfBdkR7uAx0nREa1IOvA4dEVVt4m1SS+gp3buLnqei2F9N3ODS8pIvNTk7
bCuXKKMCzTN2mQ26qFfyWUUWYeRhP7vGfWUEdKlhF3Zgq/sDBmDBsIF0hXJpk8nfuRKx+HYd1ACl
IHVTtWBZ9Kurc++lr2Qi36uoAC0qGc3UezsfDingFqMPISLoi8NmbAjwTcjn0rk3vIvZfHDNngMz
2MkZh3aCtqQUN57XHV0XnlObnbvG3sS+flk2W6UirdEafLUZp1a8HsVnitGR0PVwJOC4n1oBcm76
mZberat7eK1mckAUdL86371RJL5Gl5AD+WHyeyMR0CUG4Yc3hRXdTHNxMGLxFnIo53aFJpSSh26z
at9MSh7aOI+Q2hIoMjT80h4skxUNEySdIJ1wiwMltkZwI5jHhHCaVb4ErAw/vk88m9GKjB/x3mF6
gNhgEUILPXNLxGBXJs5dOef8jZlCeKYN8AFH/TkX8SHx04LmJ9C8igzAIIMnmbQlUkDxZZf1ixcR
XTTy0t90IdC9kQOQO5THKim3VBsfKgefso45EdZAjcKcmot8unESd58sd0M74kkLupwwJw52L/aP
fWbedHVLZzlXytqU9bU3OteDLI9sw99jSG+GUe89hHmR9f4VyIhHGLrwUllbMQMQ2+mtJ5nO76k2
752Uo4jdq2cqX0kzx4zhYkEHPM1F13IqIAAIgVsxbIJxvtKjxaGzlaj1sYkTkqMX6WFHn+g32yja
2yrbA1ugzUuRIVVV2a3ol7GGiIjdyAkvinEnigpTZbbTTv6jpRvsKmqi+xliKGLiEa30cazxhIau
dVculMFgujBYxR6EVsqiQ6fHrPU+drjW2twNd80Q8rqa8lTJ6sbtaO3l3Lgcvra4sx/Bv99RF88h
cxGih36m7hRtuqxHrN0iPiao1iA5Hio7v9So2VGAGrjI25mdw2ePpi+vqoHpwcnaCbImTG7TdTt7
D/WcX3NSOZiLYB7+Jp3XzYJaUhSPcPIoF4HdbWj5Kcyc6lcJuMCzFZlVD2dNy4GU6yik1w+93lgE
INQOoEpZ9azQ9KuF44HGn4LdwngunoWP6DExB6jzEEE/YXZBqeNvcwIGBhBqYdgZr/EySsDazpW5
jBfClmg5TaQjR/GQkEjiMRAJhv8D6/f/a8YEnwYkpIg/28Vvsr/cNuXvTQn/63/6x1bdx8htY7fm
e1vaHBbjwd+36p7EyI0ZwXaWHbuSPg7qfxq5MRuwecbLbWG9hob4z526+Vf29Vi5vd+qQShW8f87
G3X1L4YEW7p4+WCmWjabfvkLNxUbpT9QixeswbQd8GeqrbXK1gRI/Bt35ZLtuiKzRwpyJdbB6ncf
1t9N5b83kZv/6iH/4+/+hfTnxHEekixhvBCQekjpZY8FjaamuQ6Ea63Cjky8xMiGFG0wQbSb/TRh
ABaNfGmL4G2SyOsNQ9qNynJsWIn0iN3Y47rB77Tv3WXMXUAuXEUBkBBXBQ1+2CHfLR63lfbHy5g7
mkGL9dlY1FBhIfgPb3D57H7HbeQTla7HPta0GeK41q+U5CCrXKdZtNUxBS3NGGfqU3Zu7n/4NYvV
/s9+zS9WfNts/dj3zQCMb3SH5ggoMTr/+Vf1b98J0QLFNYLw9Wv/TWCUvSf6OVgLx711q/w+Y6xg
+ul/aMNbvvB/eSeetByT4l2fi5I//x36EdxUUvk0v64r59vu+XL53ALz04//w+/5tVrnb9/M737R
LzYcvGMCFxws9G7tXm3X5+4aBMoRz/qGuOylWCX/4Sv61zdG4QRES2Xa3LCYlP74xprSMkNv5I0h
LwaJ+UgZ5IUy3vwqJkjw518V9V7/8ika5iJB4HgiBGIa5h9/WdmKCW1VBuuewJYk0y/Brvc24VDR
MwmLCQRPyL2XSd1Wtt7pjor35MpyAUAiR/b1F7XSu8CH0F9w63fnFFSJCe5AiU8NHILQrNfcEohf
pXYFht/f9OWM8ZTGYed7zA4QiRKESM/C1ePBXuEU6UP8j5Zkbd88myyhYoQbP8CutH/a7pPSp8Y6
j8kPEeLkaQPuV0zC6G2RuK/hJTD5BzTVLR7F9cQuIU3aVQFmviiONeornCFPf/jDy2KybCxxJRjH
xead6ftrGe1cAoOlL1fNMG2K9D7AZ2C3pECZzZYp4KOujKitNSDR8DqxYBVedUWm2PN3tgF7hbQq
neahhqiw7QL8+OLo1uQXQRZYM9PZGVPRAJMv/pF2j5bHhkt8JwYa+DbEIrPMvc9T9BLX/WmmNmHy
fOYk/AGwIF3dZtF11zfMQGqcg9aK2cLO9aNVpr4m8VrYVCVHPAsL8ZjM9trqvtyk2CTNsMmKct0r
f1OxC+IBuovY19rkAAf8CfVSsdp8o+DdIz/daf/Nw6UyR+MeW/0KSWHV+NEx14Q5a5LlxOe5F1dF
++Sq97r7rgZnOzhcL8ZDAYusTIG8OU8tiu9MwK0uXhmDoQV0W03g2y6MtWdcHKL1efsAh2oVtTel
/+SB96nvSNtEPhsWffbk2YkOPUaTDuu6IaLtEIznVlPe8VNg0jfldUnft3ztZb1x/XdYczkEtsgD
iQOeSnhk55n4mDTbQ0JnEManWD77tU38LzyP84dpWrvBKLZFN60Hu+OzmldOGiw8DIchlN/rayMq
bkhbAYFJLxqwip3s6CnAmwx3MSoveqpXXv1uM4BuQbvoUZ3F8GA2741AlvV23KfC2drjg6wPMd6M
+BAU0LNutPvVivVo0eY93wVij8uQguforBq2sMy1qZhd40ukcQGXeb9rsifyQVc5vCU3rq/bUoGJ
CM1zQl90P/s3lv5ZTKjuVUGPwStxKYGVaJzsjZLJ2QEP0LpvNqjPtIAeGa9T1rSZ+njNWaR66SkW
71hBnUphSwLqYTsHSpqHec/E6mBUcFDc7Az0eTdE2ZZSxJXHCvrnj59/U08gOdQpRTyMcgJb/bIa
6UZYTV8bLHrVgidynRs5ZuPVEDK8nNElOOy5+cYvYcGF05Obl69zWz79+Yv4Zbmio0yy6NrSUBg6
sSr98riNUyObTCizRJIx/lKAaD/X+vv/7nf8snnBNeNWHATFujL76pkCeWBvncWFXDmff/6bft0n
/e3t4BiF34026lq/vh1Mhy71s8FaK01QBRJVORfkhweyoPlcX8k0fLSK+cmK1XtohOm+9kS8r+s0
2oxNqvZFzSkSyDE0AylwQxbXQ0WgrHFXmGmPnYx+eGZ02xMOSur03WnjT8ux+k3Y5vNqqMcR37NI
CBJIufvzdwYM/Y9r1d/eGuuU9EkRmvhP/7hWJdBZLCvH1z0Ixjt1uSJREsHu0cz7yCTAJV+7GPei
6ZVj6jr17wxBfbVl471OSSWJbWLdSRCsedTxDCNG32HgwHp6sSo6YExdH70mKlfsXurVUAYrs2O+
ZHz3DP5jWkZ668aB4UfMzog/E6gJAcSmyT3MEK/G6WL3qAE4o8ifYAmCkMZlVFA/vsR9wWlJ+Fyu
RdoN2HEBUo3Hacf/H/NkDxt5MdCycJ3hy6hIelfDpx0NxNVhV5lPfKzbNMDIaQAS2whMqiHec9mw
4f4cox+tosDSfLEmPE2PITIGaJSMJc2D1vFQgi0jcOi3b7BG4zzFtMh/MFeBZ0FAGCh9ALwU6Gux
PCbBqlGzdD21P0Vu7Ft8jDAogUrUjznCn9TNVwPhKSdpnmflHTHpfYbtFdRP+xbT1UC/kLUUEZU2
+JHoRFqYThYhaUbiUeM+pFW0zXR2LyHfDTlxqQkMa6g28WQ8RNSsVgxA+TFv6QB5ye8PQdmxtwcK
PcPAmYClld6OGTcmQvtgdPAOe/VWDBmZFX10zXY1sHPRw10wOfeVA5yOSJuRv7h4KWKMxHP5rjns
G96LY3wHQKWdCiok0+5C0ayzE+WH3T5ndXvsMSFm1MY4/rjTjCCc1CfZZWEgjO8aaa7nxduGW28p
+GmH+7ybrkcLgaPbDqAquvnQ2NuBTjxy/RHR8gobRBCR8wpf8d0xrp52mbK3uRqvOkLxMUj4LH1c
HJtR1a0nBC5vaI5iYaMuZJqx31nTaZJUY0V7w7v1+AvIiqvMSNYwiWVAnST6at4cPb9gA+Zc+fF1
6fwYabkHbJ11L67+VHy5zHwxpKK4MKXsN7461+MuSjHjKJ/Ova+KOSvQkXq+hb4UqA2PQD8EByjh
TM4fbu3cEeGnj6vYavuW1w0PEJ50gwVoQehZLzoFa/lFGJYCoUpyjyU4wvDjxgn+RDqmH0yUZDO6
dCkU8wQnLBrQmFebHpGjjMuV68arzNsuO8M2AqPO7THyjT+6Mj+lX3myohYaKHBRHxzSgaotdq3C
B/QjFjezdz87kJ9+cwUblIVd+d1GtEz9abS57koeec3ajt/6BGYK/D7j1DA0IcM03cc0oVrFi1P9
rKyf2la38WjS0AWLxiIiSSuRheMju55FuuvZnlYS+s8yeE0/LdDOikErB+LXmFK4ma1zE+DEIjRS
vcd9vS6pOhskUlmW7NwkhoZwN9TmqxanNDg28hHPrQgGcp6nyH2bNIVQRCedD5dpSk4w0Ri/DBee
1q7Wx7rf9D542yvGxY2TrcJ66/LT53JPdy8UabJ0i8+3sVdOUj9o+nBrSrycACT8qzvtMOtvtaU2
xnw/l+Ha88DxBm/aYobUemidNBo60cbvgL+V7qYia4ALrwze2lpf2XV8FQDKah/AngLaS821ykkc
xJ+zb6+mCqe3d+SuWy6WLn4V0yFi5M0msL7o6ibhQEB40kKP6ifwXC9pm+8DnLvCn0+JC0MHvy0g
CUblI58o9IcGCMJ1Gm3/fO34tyuHT7UxqgXhjF/Pir0uZEZASqwlWE4xiK9MZoBqwlMa18fZsd7/
/NcpRqz/Zq2yJIKNspTkaIWW8/vTqZCd0blNF268ibosv2gI1EEXoqPzDRDtkZMLFE591wNi9BU1
ORLuX2zay4e4QNcl9Dky6dct4cPcpzbJ7H1xlSxGQTzBCQwIbBem2Jf0XfUzVSVdNvRYKLHJWAwd
VhStR1dO6xMRFd4blFxmpl79lPjZDHALpklW9D8dJ7y0Oud26svHWbWQymbuStc9BXF3wo28b2Z7
n/TVzxabI9V32HhgdlVx9On2TnPV1uwCZi/GNRfKL7Zx97OYPvUc8h+yPj2gZ/REc8PHpQAIyTyl
jEZHL21TnILBfpEMDVdzUD9Psey3k2ZNw0L32ifZTUS5aO+DFYzJI1/pfvbWtVdOuLACOJ3NjC9L
DAjiIqRgoS7XpWO/NsrdGxX7t2Csr7KRSHvao3T3bfIVuaUg5Ihcb085dlOt4nVYN5zh5AxUuTZ2
Tiduuon9bzLLcDPU7TV+tGJTmjZLXhZfYVMmUwnwPMgL+I0Owj4Wi5vAHQ62wQuncR0alYcpsl4T
CWDboZN3q3TPGUMed4r5p3ofdE7UZonF47dS193yoKA1UHCq01NorqVD/C9KvWNURIzmJri1JivV
OslI5Xd5e9DOuGmn+ZFT4TXZ7SNAni8LW3COsWypBYJn1UWvxkTSufRIOU9ZNqwrw/JOOqVrwWot
fyeqdKIbaxk8lE3q3ygf/6iZ4euOiuGpxl7PhE+0Nw3bqaemduhVZCt24xs9PMiO7EcagZSWTAPL
xD4ZPZuEsVL2aQrKNzNg/Qm0X17MwqWJMK1DNkh4psakOjWKwjwrgnFGtwoS+KhvC7MCv1ul1KPF
xbL4SOgkggR0bjPtSfLlmNs6PfXc2Dc50Tt7ONIveTiAKklzbN1Id6pNgVmO5sAoMQVmLsgeevmc
XMyUrkBR5ee0T0kUM4nMtGkeCYuaV44peMhNl6DN8/0wK8EzuHoLlHtnCZ71GKRgaNb+ea6jT3sG
rVYSWd1G88wLkrLf5H5mb03Xe1bzfEPOADRX0TVEiZarS9b3CaAAosvyq3IhuPqaEqSoU/XeNG2q
lKT3XarihTaA12QSlBb296ksHmurfw28+iEFjyTCYG9J+pbaCCaileuPyAGh1pj+HtXte2jELRMy
PlBHiuy1tooHroNHrcRzR9D6MQ8C663WCUOJOuR8F7qcYTXzIRLFzcqI/VthkiFvQusQEpM9xeno
X4kypRh6tqBzzT77gtB4t2Xfwk7WJKcsZg2BBuWNSb855jEmrrYAWtXbk/mR5M5Xw6e7avMaso6b
M8f0WeSnyoG4Zei1T1dvH9LmxMHCbWaQHHO59TpnzwGPrTlfbJ/dFWZ9MqoBXpZcL8nHAtothb60
KcDTgHwXhh/ATFbgmLDm422uANPpFKJUuo91BHO1vDfj+OwawTlMfW49IHcqZCI3cyBajdl80cW7
7UUcESpiVhXo0L7noWBO1aebWZ825SFLjVXJZEnNlIB4/jp20DRIDFV1/hkimxqNCeyo2S0FXW1Q
T9ixSB/56X0pTpASs6tqyu984Tu4IeyUDrEhgarRPIsup8vYfIqcek+IfIfjg071lKLymaFj3Aoe
jWBCYghvNDttp4wnduCkOzUSPn+ouKbUFG9G751IQ5JONwSoaGXExWynIC05sQeWQv/Wu8SVV20c
X9173aNR2ica+bYcxiDkUqGhjwywuWPYLw7YkmGdze82F4hcyokqZoPdPjcpl1JzeZmI2quiXPl9
+dZ2xU2YfYzYwTqdAMcTV5O65EmiD/lIOQY0CsTeTc34k+BRtI+nfJ35eJQtl8k1yCrJY6VbplWU
m0pmgn4PttKAhg4YvTbinaoY9TfyvsCtWkXja+AX29b/SIeKtAfkaHTEhlPLslEwsQ7ImAzZ4F1p
BxjUGPycG/0V07U052dci1cGeqBB2Okq6UmtW4h5M1+63Ts7hpsoxX28H1omo0CzDSCHKbPhZhsD
Fh7YTmVivFW5pjIiECfP8k9z+5gBNK2JzTd1sh2S4DltYSJH1moU8MZnJtVE0LTN6iGJDVAwhiOH
/Zx35VJQmWlC8nG5bUR4HOStijQPTKL85BL4IqIGwrb/w1xiFZNeoGIbd5BrTRmaZzzxmN7kcLJt
gLIFmNaqzEHfX8zWfMxLqlPUj1Jma8fTOyv/qu1+Vwbde+O/zr3cQqvMBpdCEXj9wfPMJ5XmipZ0
Y2vw7x0rvW1eqiQ8UG2DDXvatWF0m7pAKUFH+6GEMQgfmf0JDeKrnkhGH3WHLmYvzjQSwHMXcYPH
fM+VPIMWrAeKbYnS4MTdGKYG0FFfCZ9NPacyzA4xJaAJlxda0N04TVtFxJTCbiwpwXWRy4MX+Niz
vFskCLhwfBiV3uSNfZ2G12mFEDebnCGBTbchZpJ8vK2X4LrmlUXdrS3PNI9czYH/w9f9vjC5pUe+
DAGMt0vuklrTevE6evVxMo5Wn9+GkgicaRw1LXSLoOnw0PLtjtT+Y1jdizYGD4vdtA9WEjiZ15PY
N7y1h1XHRukA4ZeF+jiBfE6ynnpRlyEs50OPFDnWqwTmjx9NmwHu4dB7R7f7qaYfDKX35fgQcYBi
h7HOYe94Ubi3AlxHBbx5sRQQk6FHPg8bdWg6+8WIeUj9T+7OZDl2JLu2XwQZWndgGoHoG5LBnhMY
m0v0fY+v10JWvScm89qllWmmgUyqUiZBAg7H8XP2XtuUqH0yDvTIo3XnUoXYAX02CaxFVFnToC4l
XpihKglR/KiDFw83bm52tzWrT23qW9/Q1iX/vNDPuYELiOZ1VXePwfzjcnlDg9iVqeVGYPYcX7sa
HPXKJ4tU42sfe0hBOUp1jnUC18R2B4eOIAtbV5kCQ46HHS7pIGJhXhdKvPVQswlm047Wr7oWNxNO
fkXX1mNfILPpbyvbOXrtXHk9Sv81mCEv7QM9vwWcoimmWQ0SpeJm6hUIO7XbEX2+kCxVe+AAjncI
GNuaHtRKkklbcVvQ5bGyprUae2tjpBYmX0kJLrWO2RK8khpgJdKf7LrEzzAudfXXMIyUjNpKk+DL
Oa8nM7aY0MqJUIFeNktsf1jiLrBjFmV1dhSfX3XESoewsAQpyBAjExVp6McxC9/8qj76mFRK0yDf
JdllRfykewwL9ahe9ZQmi44wXz+dCbm4qYX3atmejpT4IemzpUWWfEOIrk/7xQNvaRCRGIDIHwB3
TjERhxzKiHj8VEz1V6PQmLb0O8IDaY+Gl8T27pVALo3Z5KSDJDC1eyXMnhOtdZvKgxVk7lTlfYZg
NgFQYRWaTEUTwVKRGtgmGGrMVkVb4M8a12WgL9Ncvk5W4kaRdTO1HCQj0JFazUHajqqSCr7n4Dxc
BMnI+MBgT8e7nopdDOKU0Bh2AU7chQZ3yaJD0AQgDYHDhc0+Zm5gtSdp89VLVqjiTfsxbfGAdy9N
RvCoIldBt0V8zob42dq3eDgCzA4ln+T5GTfRRg+1Y6JBb2ZlWKvZweXl216/TuzSreXOj1pqkmeH
HO6B0toaV0V4pTpIVDp4zAjzRYCFQOe3on9Thg/8W01Hv5JhQbh0xLDstGfNVhYFKw+cBGhJ+jLg
y9OjQm0QRy+ShJCSZJI8h+uahifs2YQKP+RduaohEjLEcz0ChatsO0IDkg7YwPvAvsFm7iaE/prV
qsRXjJpnOaCotOFpiqzfivK6MMUColgXHUANEBFEc3WjltZKgDsW4jFB9wvXlIc4XXq/uXi8jsQ3
EwdSjO8Buawtimtfve+r6DKV75lCIgqzHKHcFAnl60gtjWGu06aNwvtCGldKMcNbWghOoAGjoPBa
T19HPqa4IXzMtHlyUGgGjQK+pj0Sd7zXq8Og/grTT4+bY6hYyjhlBnSRJ3T6pkyBjxMmpA0rU7uz
POJngwvlHP6gDE+pjnUbe7N5ZsvJJvKz3bhed+mzJk99D4qluRPVQ1muvPBi9Rf0jl19AQXWACdK
qvsCAjcoliigyRnvuy5app8lnOrWDe2tpHk6WMzq+eIWd2nwEHUQDZCo0PU0rdepZi9gnn+kM1Fk
mLomlwKeguak6uZ6qO77XAGYyZwn67ylTJAhsv2ofNNEsSo01ll9hZoCOqLOj5sz2+5Ecqv4F907
hwhX6zcr3oJstdi+OgZ+sr035tM5BCMOB+QRLlOnpaey0UCm+NQihspRh5QBcZfi5zOVYBW3sOeV
6xzgJilpS23kOM9PAx9Nz4WNc5vGT8w+3KQFbNU9UtOJaB0VjIXaM6org8Z1zYlheDHHdzq3nXFO
WH/hvTPzYGjNFpR340VyXAiUXeSdEtBe/SlmNxzIYHLnndnfWZBZnTszuMThwehfUSMb48VwHgkK
8IqjzTacKpeEjBz1ykb55kS7KNyp9Uvuk8qNZoo8o4kuOYDeem53OUfRb5wIuxgdNctWNmpNHDof
D9U/NJj0w2gtxE1J6lfGR20a4CZBZ6qIQZJbzSKVBdOTtRnwnCYdt7I+2/lZ5dDXarynwMAe8Fqh
tbMAvdS0yC/S/9VgcGk3BWcWLbrADeDoQmpGRAtW2cNFHslx65tbrbt4Nt6pXcCRum+Z6nY7zSHs
Doyy0nPafiRpysoA8b2b/Qk+A0ZEVy90NyWLy0eXqYLvTBdesfIagKKU6lioRsijEtUL6SKhtbB7
c4eEzNIfLO044nlPzsg7OL6+xS3Rn7+ixnXCh7S/LirEf/Yqxz6PT6yg/I8B515a+2UwNpOkYtF3
abmH9IyHcp8X2855kmS5oI/ltlw44o7tR9t9BrNzhXg0m9Nz2k4UJnKbErhmsap1Pbo1amadZX3f
VahhAnkcovzR6A1ScjctSyJPp6dKWFdZWpHa1jxWBtnjsf4CE4u2SnwYbR4dEkLE2tshvIL7yVt0
SXluggQc/VQN5boQmBDTk8NsXlGQKAbH0vDdMWQ3fxqDdGm31IQ3E2YSny5OBcCJcJyJojbl7cvj
Ax5rCpcbg7TOrLke4juFSprmP7xSEBxpxJsKLpEhFe9qUGIb5ojf70L/qOi0q6enpnjrmGl70W0O
jRs1UNC91soubAHegXcSwPnq9mrqnhTOj7VG36A46RRnrTlss2FYqQQPcu7t8o8shGgwwUMKHp2k
PEbeY4f+Ty/OOQby1grPlX3d6HeyIFgxfhi1Y8ZnOoDVB3I+4ZmN4iHNdgNqcy/dRQOS9yfRKjfQ
nZj7Y/8yX+ZIN5+3Ltb9dUidqsS7LMYhyvn2l+hpmphuPdeN9NI945g1rz7eBUmuZtjVJx3kpKGc
2gFYwdaYnYzh2pfXM7IozNCA26RNs4oQYGT500ywDUOSLuaTlsI0TKXvajW3pVmszJaps32VN5DI
GZhg3gunhO/6e8f4O0uI6Co2FkPY2kMD8FJFmzC+NRzy4kFnqdalJAQj40kMvMJ+DGoBB5ByGGFn
4alY1xpwSufeIMArN/btnI4KhKqkwDEhZqBdwQvbPtU2N91HMMO9zHOGNZizFExfaD31fNzrcUHi
U8q3/1eVFrug9I54MJARnxXlUzXONZ4nwXGFXClruJKez3/DOGzc04bY9FjSIVoypOrcQWfTB0cw
PZYoqwt/VcnrAaBM0KztYZcQQzhEa62KV5Vx7ztPfV0STc9Wzl8KsAEvI0hA4ZDVoRyNTGHY0zxH
xFloIZsiOA6hDqumoHbxii1TTzZXsnxE6orwqrDbQ0c5P5rBZoIf15jtYSwI6qBUo7pcDznKmOIW
5AO0sY3BDDGqmBYyegNJkRM+5OCWF4EB3CM8DOByFLzVCnpjAXqNQkwSp6esANCTc8IgP3zVtBKJ
9F6CBQpm/ozyV3gOCrjTgBaiaG+K+D1AzW4o1jK3gCgQbxfzU0iMK0IHypq1VBCXl6ib+unATNgF
U0Kqwrw5scuzc8/tVU3hjOTfGQDyLOuT2s+1ON3VSXLrBTvOQG4fQXggYAYD8ZFODr46ZY8zdmXa
sWsWo2vhT6+mdhsN/UIk07n2Qt6BiDpGX9eVctLKcFVGbMct8YCzhqLHdRJcaVp4pANMLrd6VJun
jKaBGt2H2g4QDc1Nthk6MbX11hfKAhMRgaOnXHLDjN1EQEzYwyafZgqN6fb8JDAWm7zMD23JZ33U
P8qyv+olyUctRXM43KSjXa4zZh5eyePBmyCNYlmXKQlcVwlLy/SVHQXSPqRLz3a19bAWm94R2vZ2
ROUOilKijE9IZTOV8Ubv1XWTOUvgF3g3OLapPnGonpAb4VHWOW96PPyaoruuxXiYp8k+c5RNbEx7
RxtPGSdjJakZUYXHCr9BbABZFfIlSTSWX89OhWNajm5fqs0ynvpHTfi7NhyxdsIsodyEFLrSCJio
subB77DOT8QX2RZHHnnJjeoqjZxVAqcUKJzYwYfecOC7LicTeQvThTpXL2VsHMoGpQzRDonJiUwP
r5Mgfy6D+KqNx9shTNYS2u2MHwwI8tNAExp5T8bkyNIyrrPAQnJcYlPmUXFMjbwaDJ5ztGc5S6Tq
67S217ozh3Jhh6B1mDM/kIxzg9K+VhTESTpnnTbFCjCHt8rsHuIIn9+EMGErhXRTJvuxNs+qYl4S
AzNN7CPZNj5ir35VwuTJS8ZjMwkEQQHnyYw2HV2kAXROG16mwqEb4WStW2QDIKM8uKVDQ4iWiN5S
a4TfCXFxgSik2RYALN0uHZ4jjJ4c29BTlIitN5NuiJOIiKKsbeWmIRfaLek1OKCLCVwSz6GA06QP
7YFXjLQRh3b7SNKLPWUFtyM42SVoO3xPJ72qHlupPOlw5taoYZizlwGBPmaOE2gYXKvSHq1KT1aN
ycujQLMXtOgW0uZ4msWcR4QyviQTpxD8nh0jZxtnGiUgoeXrwswfq3neEFjL6po0YEplv6+vLJFf
FLU++WO5S/v00wGEsoKGGLM+4/oHOaP2wyjsL8XKF6EmfjC91y05q4Z9irFlwldg2Z4s1FUL+xYr
KadN+1AsnV2+/fMczvidtufLFO67FNUffNS+ESMURsADjY/gfdCsjq2Y9vwQgVkf+G7K7loNu36J
bxGgRdLmpEoi4BBJEblJ6N1kkDqw+uEWcJoH6Fd30LYhc8DkzHHqQEMZ9LXv7wxnPITC3w7eRFxc
PL71OQV8FUVAG8mD1wSnN1NJ1MXg8R2FWH9IkaX8+Q+W9j8nnbqh6fyPij/TUPVvYlVlJlaSHqq4
SWTtMDtc9Z1xFIMbKw8FdQgSu8i40Qk3Qg2omA2mOjYzo1hAt4oc6vTkpABioqccl/A3IYLWc8qj
sZrZ93n4qOgPqr7zCkqiGSW1C7CQ6BMpDBWfqTc4UO40vjnxp013UsvSzQTqkfMYg9BFMHqLynfW
U2gyq9/Wyp6kOR8ao3Ec6GUN4doiCptMSs5yNf8bH0JH/ZGhmGsyde3zk+qZr2u8KQ3xJQlHebGW
DPEq3kmrvsLoDiHkzdPQGczdVB1fGGWVnPszrbon9K5BLKcLuc2EtrDUtY7GYs4u8NicE5IQSvpa
OTTbPiCnK2QSWw7XiC665K3CvI93xZXevoaflLfXY05LLlEYfN7Y49Fg9ppNfOL45xK2HJW+UCQY
gBUHjYJgIFxnCPaSPkxvotAD36JSPzXecw96GkipbWBScwjq2mnjpsz3hnUxM42wPzAWuyrItqn/
zN65KsvbUl7VtoQd/glyhdhd4nq9FzstDgo7VhGY95HJDk8rshfGtiVoDs8+DfTAICzXpFluvkWE
iZC8Qr3oHLCqELO39JGMLtpmJXD69Ot8uFEGuS3aB3ugQiStOVO3YvxM2eykRiNC7rryVOHls2fu
GfO2kFRAe1oGKDAJKLXEwuSQjxqVvLrRQYo5azsZfk/+dQbvK2/vA1iXhTBRF4z7AUVF26HxJasd
m60blC8xSsNEnnMyS9DmBy8mpzDJ5j/aLzW5Wqaq7WpLXoLsUoCowK3oMgTYFfVVUVT3PBUvfVIS
xLk3M0kGfWnFXbeBWTXi2qPd44BzlUfnVxKjU41pJgWrltCGgj0at67PBiGRzrTDBaYzSkmNo+CE
VRgf5NomSrtBOkIKDNuXc4l0Ji4j6JuQcaKyssV9Ez/2xsozMFs94PXBjcXsADACfeNw2eYD3xUl
hmNE6iJSzYspgkOrasum9neCKZXoaaoac0Jl8llQs6bikoiNqaM0g5hAgbE2icrzkmdd7kwEtciD
7W2jKUsV/V0CIKkfeG2iK4iirLlFatwiHFPJcCCYFtmb0RkLyA3O9DzRySFAk3NJibVHVXdZTZlo
fRjmh5VOO2HydEwAq/2C+ngR0jLViG61e+/JqWvXNDAcVioPeue31ilvON9XbAXIo8Sh5iMO+xVC
1Q4+a+jxSas5JpfEZBDVa/uECtakNbK1PHbY8KKItwZ5efbRgLzyfSqClY8tkHZuAKQmz+l7XQ9g
g/GCLbLY4L6jhWdenBZ3Q3mbJt1y0J/btHTxY5FA4l1VJIJnxNJZrFiLnplVsn1wPo5fJxUsAs5w
49waLVoc+s/run9FXtVBDmeiRAVHJHaVC548PaL6TkLKQ8mc4y7QaIYqgYtNbAlURHpXfX3JJjY6
NOdz2rtvUsB36751Vmko3NhSN3rxVtnxplE1TqGMvDzWVccUMH2O42vdAaYWS7RczTZgLmVVCP5J
WGRwplh7Nb2KGgOG+YZJF1EkzzJ7pyOhmLuheIxp6vgV7yJxifDouDTHkLXVHny+YQp0uUp5NQtc
1cPBd5DPzfgolVZxcG8glYIhEqQbU9v4zXnksJaTPyDU11F70ziEOoSYh8cs22vDDT46t8eY12r7
REm2VVo+CxP+xGTugmF48spxHWvyPpyRt9rdgPWPCcxKhW7b8/GrR6plGCURh0Ed850NKth0PuFF
ML0rF160LuKzFWsEn7JwrZ7XjyRrgrv5c3z1bAgOGdUd8La6I+8x2ZD3rguaPNO2FOuANEBfLiR1
29glq6j9mDFCNbFbeyaZgUIEE5zETUsszmBvgowgBjYmUyyxqKbKzvTPynRf0JgKzYuZP3tZTbE/
IZs0dkFLy2ZU11l+rEro0cFxFAEEJJoRRB8rhb8R/nM0JFuEX9gmfbljPukT4MiE3dL9fVnoK618
mGjLCvO+mKmi8HZwG2MlXWT9abKJ9U22BC5MPApRnNsppVtbLRxc+GVH7d8CEwORbkfv6QACmDAy
E0hJRP5uEn2owSH3UyR2ks2KERrabmywrk8x00RXnsYXneme7r8Tar0Pq6cop71NySJINJ3bK8m7
Hehbk45dQnwT3P0lRfVapfkZo9WT0uSdvfg1aNZpmYt3LyWNCguKRRHfV+s5rJCDwibD/09fnU/R
0ocvMOZ82Zj4aBx7qWldVa7LhLyivd9eaqZNUGW2RfOrLO8DSuQywKXobIn5oc561tJH079T1M++
uO7FdYOfeCJ3rYXszWgSjRxNP38e8ARug9ke2RwQ3HMQ7LTGWvr9ns8cIedDuurqW1nfjWQ/cRQM
eV6matyQKLGRxjsVIHxYEr3psEX7UPCOIHJP4sfOaDnLE3nEChBVdT9qwTIrH7vu3uB+T4ZDsHHD
jHDb+p+mfQi9z6Y5pslrwJhyYpbdanzsonsfdWcDsoiviESQHEtJu44sd+0mYCzq1ReOL3cDyV5J
am2MWeg2ox4Uiw/wqxaSwO2gyvKuNfL9QD0xVj3XPBHdxmnjHzyG2UlyDGb8PGTwKdQWE+fnzpih
cgQSosFS1GRXabdJVLgeAs7BeWhx2BLXvmrA4qTpuI1NkASmvldzBEvqoaYMQplrDtoequxyEncO
nEBJV9QY6TjSBF1Z6YBl4DFV2/OoVLNQmAVB6GixFxhOYpJY0O1D3HjogJLhMKbWu7RklNjxsbXe
nShae2iPM9Lt4zdmrzWI0Sw/TOOdkDVig7OaROs2bw4kyO/GwKaXpC0zLdyVsfLmdSF7df/a592H
3h9B/1NgfFT0apCP+CiLbP+60k4hH4Rh3NFdQAQJiieoAJxL+60nSw7V8mr6j6X8fy+wvwn7vC4N
RyWLkRJW5RVTn0tIlVAp+f6HSv4f+sG/Xeb7oSkokwCFf6S4eki0Qk6md+9TcL95yhuK9R+ODbPN
4ouVDmH9fDEHB6sNIEYKooC+ihUn+PtVwtjR7S1qmGltceb985+jzdr8f1zCJIboX+CYGUPz9RK5
ZRmD4qfU8i7lzFIsta29e493Yl0tKY13/7vLydlN+uXMGSWWbhE7pLikyJFD7IqlikVtySCoWk8r
cA1u/ZNN8Ie/UH67iYbnt2Q5QwrJCfPZybX1CDQCiMeyWzF5o3L50Sj428f2P/dUzt6+L3+kGva5
TtaCglStWOMZBmHzn1k5/7UwBAggfMcaBtX5b/5yBTvOesduWBihky5r/1dCL6Okq/3np/WXo/Ef
i0Ow8mzLYhVq355WoIwtyH8Wuw23e+7Nf2TQwzOr+XTSbF8h3bfSFo5EeBoND6Bjt2pi2kAazS94
FozO1Py2zscLbZ2bTB0IYLRnOYhanGzohMRFyIc4lh8Atkl5yx2S5HDLiTnRsgO8ZkxEpEYFAzks
l5XkP6TguD0zOtZyPDg0avvaWUWDdSiq9tlGHLoAokW8oMlnj6QPYJyjdYAKdt+O5aYlgkbX+j0M
vNU0iJfJj59V5rQbvy+srdRM6IWNVv3woP7ZY+EN/nIHvy0+Cwu0ak+sd8WotnVd8OUEw2YE9sHM
1B92wJ+u9W3ZIc9qMi/laSFpXHhynnsTuRl4HOGbH1YGPBhW2J+WxrcVCMnt3ytQGxDMaR23XPGN
Ra8PuxiPI73jqE3PcYQWBIngr3qsDobjH7tErATluteZBNHix2s5gUiCibLOPCcWgyY9oxffRmpN
nCkj+Mw3OcUgcPatvZ0S04t2cAqekVVhc15OVnvJk3ch0lXvWZs092EPxd27mDSMXOHGAispghoA
c7XuVWC8PllG+Ow0BSaIcRep+Cx1+E384gG0hpbyVk6Im5sdBZXT0yHi0+WIci3su9gC80dt1qEQ
tih7CROLqifURfBQp9UMyFNTGlKBCmo2AM3J9MYREPZPHS0uGT+q81eeNO6gDqHiPknEwOZQL2OW
rfDMxWStIoMU3gJLa/RuFhZuTL7PGtRKJJ2iGoE7XIcOHUp1JGaGz7pDL90ynSU6LLrAJA5HpITT
Fao7b2ObCnxcBazGL4Oz84CYPEV+HdloKwZBUYgOx0NtxmoZsKkU1YsZDHMGLRHwA/neBwuPqU4L
mZBj3Zg9CmZ8KjyG35Jpj0pnMNPidQrwb7Rye+lEpMVXcbmNQKzEBvwo8gyHMP1QkYfp8qjiD1Wn
6iGPVLRHuJoBfiMDR8CAJMHHear14lyNDfaKJr3JyoFXdeQRxR7oGnKFeJ27uwkjbPiadUhtOVM5
ZnqsQZvnwEC9qufPlNepat82SfOaMFMrM/KFO1LbzJeAnMeAZ0zS1qJJ27PanJu+2Tni3kLE2wGS
DrOnKcKW1CLlTOEbc6sMW19Ho+bS7OWAyvmXjPVQuyTVVmEJxiaPCUmsNc++1Pin1+u3XxCJzRQ+
hKHCovv7/m5CMR+LJuHDv0Rfla2a0E3WIP+WZMzYB33RnMhsW/55t9fm/eEfr7QtrTlaUNe56t8v
altRU1rdXxfV1vprfYo35JovtAfx6K3aH/7E325WXy72rR9aIojUCR2D35V6HxoiXVKZDo2X7sl9
+qFk++3N/HKpbyVO2He5HBmquA7ZV4NvUbD/uB/+9s/hxomZzse1vm2HOb2/Ju7QISMTXehL9QF9
Kz7Ieqm9iCfnYcLgtYju+y29kz8/tZ8uPP/xXyoBgL5+zDhBcYnu6ldGw4THIyVrsr3pWmAi+eFy
f33y/7FIvvyh32ysY29ZORkfvDahvKF2DVbJoEWPMbhgu6pRFTU1x59UHdadNJ9CZJI/LNN/jg50
g8VJBgxHJLa3b7+AE3ihBwIKyy4eHbcxLR2MNx21yKiL9X9+b3WYKhT0pq3p31+IyS8GUx/5eJfq
i0eTtgscd1Z45dXw9Ocr/e5rqktBtKcELwMq8e9P0UgRA4bzU0zHcquF3UOljrtaaw6RU79LMf3g
g/rt5WwDrAmlCZyOeSf4smiiRvKuR9zDMZg+LH/YT8bcA9fxjZjoQOyiuvrz3/e7Vap/ueC316Mg
J9UmrpBXcLo1lV9IOHEprx0Syv58nd+96l+v8/1tiIOoImmU0xlAGmEar6zEH+7dX97372/A12t8
e1YOFLxxKv86MeF5YB4V7P19hJDfHVb5NVLS0LXytXR/+Mt+embzLf7yzBDcTgTT8MwUWvWYR5R1
qkP7Bh2J6Ma42Al5wTLFQVYKH5lRUlENB/WEGaRwFpWjX7ywuBZpifspebV6nbNeh4JQsadm2UhY
4YOeE+bnEO0dG7JsUEfSYwhDglxq6DeyQ4fpA2fWh/oY+DW66rA5qIGPbKh1hpXkBHBsRIZSCE/2
sp8g1XY1nZZ43cHgcnTll8DBk3k56E3tpnCiDn3UkO4dGeo/jBd/Wm3fPmRpgAoZKjx7VOaZ5Lml
j6K37rq5Lx7Nue9/fjK/u5qhQocC2AUc5vshvdOrMW4wiri2JY4wb/CeuREtKBOnyJ+v9Lut7+uV
vr22k6UXtZk2tDh6N0RZUtr7mqnany/yu1fo60W+vaqlg3+CiQTrbNIWavg6mvd/vsBP9+vbO0qS
g6176jw9tGvcL+e6zFcA7mjP26s/X+mHP0V+qzG82qodQlEUkhry5YScuWCE+p9fArzX/EGcP0rm
t6VWlJNW6nPNhJUT9oicLnam3f11jX9nXl//a2/5FrL97T/+n87c/jNleZe+vb611etXQtu/srrn
f+//Idrkf9GdMGyBwZOjum2yFP6HpkyUnLQEw1o+5LxT/5+lbEshUJ3zbwqVifyc4/ZvlLL6X8zq
HY08OX6oQcqb85+RlGcO3JfaGowo0HhHm39BgM/SEPP//8vu3U/ScXxb71xCWLHQEw27mlqgtqoD
QEFRgtdBI9uj9Zn4V/UEF1fiQmswoVCpgzTwUDxjAdLx1KmkmmLxPod9hPNmGl9Mr673U+QZpOyi
ZCaE9t7sxWZuQWd5dEk9JJ0i1IjhKZsXtTCSpa1GDAEiFco9rXU5DLfGyD/AKKOAlpRNrGb8snhM
Wk4Z0JMY/4RndSjAOAXEM2NDaHHg6ukOn7GGiAIcRzo7wmSjzpxPNGrSRykT5GdNWNUxdgjfIEcq
ODiTN57ILxE70dvWlYHzp/SVaGe1CbFyFhnkXsukY0rsY6yHmBvpTa7DAu8K4di3CP1vstA6pk53
GGHDLohhvDNnE3ZU25CjabSFZkcJI9m4OgHqSYCtstLKOOttbq+CXL5Enn4yKzimoVpX204lSAu9
111mWm/jmD6TQ/Zk+Mp7MPsAyFydLkoqwArHpUqAgn8OUS4thkZ8DLFEIWcGH/QW9YcQwJFbG5zD
ixpTZdfm6cZIrXRZdqq+cZr0UqgM5zHduZEtmckE4UfpZ8eQCQK/yLVRaNu8YSprM1sSioaXIwSf
2wYIQewq+/BM76FXHLTl0A3MyDvbgqNyjLnKDQdBXrTCvJmvaeLqsTOiBcZBUFbqSzNNN0JhLMrq
vyHgND7EJAQuakvZ9gUOwD6nSYb975P57xZyRYJsm0g2zkkMuDuJXbvx8zX+fCIbsmpj9OYzSagM
GHxlQ9x0t1RLeY+Ladc2AVM+45H5BzZ++cvWBirlfhOPOSI6U9PXFmFmi6rTX/DdF+RP8DyqDoLC
5IdLTx+QaGBImuL7aRgiVw11aFnJNij4EbpP3B2/2gS8qyjm8pTpYVdgkzXKArCm4d00szUpC8bP
csh2DUHsjOtDVx2aX6Oo9oWKhDjLXuLU3sFp33sRWKgQs0qMXKbEkaIo3qnqZpDbaNxqdo1aG0Sp
PgevSMybqMxY0dNVqSFdMcyacWjeX4cm+SGDqHHDhd1GEL4DN5k87i7dot/Zl4O9l33x0SrjIa3p
YJRJf0zD/LrQ7W0fiofOCY5dRAQBUeWqRboELdEFwbIo9LW9Njp4w9vcX00KgJo4zW/jNOiZgtsU
l9FzQ8DIqo2Nfackh1TFCDD4/RNcxHQZqsOTLfRwldcjKd9+/FBY8qxEoQMphUw/Yv5qzOqmfrRy
IC6VGRRrDwkJtFdsARa+cQxQ/DC2tIdspBvVNyg08MQddCUGVyK6jyxWqyvufXZnVgyG4XEx9Wq9
grseg08xRqb05tC2G8W2khV4rGY15DmtNy6GwmwiHaRUp5p0A+cWVBIVZziozk43LYI6WopSkhMZ
nbJwHya8OaTOR28dgVGE0yNlEUntIFaIqRgSLDL+lCXMFwfk503/lI19cjcGkblkoVozu4MIu3K8
6xIVo3sAt4ybsIryut4lpUAJU2CRMHP7F68RP8swMQ0HeK5zz5ruE4GpeExlvDFCdBtZxvTWaKGE
tcNAwLWTR26nl/5lauJs7Wio/FN0G+cmaYWr47t/1MAgYmC0rHPttPJsOEPiI8QMUOTrpA8nlVkj
V8jbO2qgiCfnb+yODd3vYQKk48oA4t2b3UOj2Dc+snFbqd6xwqwCGOVGHGzKun43a2Jfsih4sPzi
IMfm7GjhbcX5PMzw/keNf7QVLBH6yKwFbbTVKC+9iZ0hqndjB3wubx+b2IGTbh+1MV07dYDPwVhn
PnZPYZzVtP4AKXzyFBDVA1aeGQ5kl2LblHhW/Xpv63EHoatnD+s1Wo/mRe2IfDP0ieYk0g8brEvc
mpfJ0/ecO4EbCHTL1gikN5UY/rM4oCxDaJPmmrEoNHwYSojqyfP5raH1tuumUT61sEUx7+Q72VZv
pd3YC9iqkVtopfrcZHV80AK8PBmJpv1IxrA1i6PTWTCERCO4qsPOWFqQkaC8ftR6/SaVZp+HWESM
1r4olo4v1WYTs2Pm19UYbsLGmF1EKp6VMDvLLCTpLZhONGE5A2WduuwLuo7OFB7psCBAjpV3xTM4
avjVbSqdxyg2HpyRo5OtNMS3V/4bqdTMviNzC2sq3CkhDd+21+D0SuTJZvaECHljlIDOvAQhVAed
YKuO7Ws+aVgfh+GxEeKuZcIbFDlzFnqQYeUv+gQSmwN4eRXy/V5HA2LTjA6wO1p4wQLRPTd0MNzQ
Z95s5swrTT/9pKNB1rGvwjBCnTv1mr/MjPhSGHiRs/FDGFgTm0JwbwIHUp0jPv1ShykQa7ewAR70
iMTYxOhjFhj7LCyIZ4xaNmiO0TyWXvTR9uqjGB3oNFn80Wv9yzAxt5/8+tpq+7sxEnC3AjuBoQVe
Ax8JPglxzZXJsnRWA8ID1+7Z1vOqxQqMQYS8UoSoJpKmlhUfZEA+NLerFVr1ZMv3eX0dZuiz/Irv
qm/oTBM0Q669PH6wG4d+lI31PZ03FROj/GTm82eAAcNQ3kXQFVC4WQXCrALCVg19JImVZ7Ps5bIM
TIw8XZNscpPGvTBApqQa/xfNEYZVoPsPRNYQlhXwZgxpboK/im/0LH5LLAwqg01O1Vh6p3yklxog
blSGUOKNHJt95hGdFVYwug2joCC0MigxpQ85rX3xtVIeakOhe67b7W1r+iY+xbB/HlP1LSRW3kKK
h17uv9k7k+XYkTNLv0qb9khzOOa2qlrEzCAZwXnawDhinhyTA+9UT9Ev1h9SSilTKlW39rVJ09Xl
JYMxAL+f/5zvjAuX0n20IpzsnAp5o7vE3MoOCAEBQRHkz0qFO26FGyU1YbfIJ3IHESucMX9hmxj2
rFgGCjao706tDOSajnaVa/15/fU/R5c//fkIshiX/3lBDJutqn7XyT8eXZZ/99vRxf8FIQ4GkgDX
wirX56/+dnQBp2cJ+lckcicS5F8PL4b4hcWAD/4UEK0bOGYgOFL85fRimL+gIlIRgz1LgOAV3r/U
eG1bi7DwO8nLsm2WaWigBCx9rIxyESZ+d3qReqy1ARJu4wQJ73H2V2l1YwQEasKkurcidF+nUbte
+E/hhBGsmcRNmdNgkcRvRIKvC9pLNnNAYLT0SSTNtsG4WhNqsdIypiy1CzapW92Pst5JbP70X1Fu
UFfWweGeu/Hz7H2cjTf23dhg2Ous1RST8+9IH8+kWy6Rvap1W1Nrim7FO1vP4bXXYbjrIJjAH069
s1ECDsgT91k2M12mClqbU5fwWLPgCT5/vNbNeGF0cGtpNPHvqzwn7z2RxpkJtm17I3/QBFDjPIU1
0Ska4cyBdRDZupWizlkW/jPa7lXuyv3Y2w+TSxNGy4i9hkBCHXJeMGjpLqdkWT4KxKJ96gMk8pn0
obuMpyoL71hTTrTlkBdqvRra4wJs7ceTk1aXtH2DLbEly8SWAY8cMqPfFeeNa2m3L3XvLVIgnMUA
gJBF72/l5MM+Gsqz7uQ9nrl7166fHbNhZ+jiK9P5p6wctBcI29DPwscBkz2yD40MlH7EJn5Iz52y
oy+cN00EPXLEi03b/bqxxcwK1LnTfVdth0p+edp4HRzP3minLLhZYGCnUwelvHDJNY3ZE1SHEK5G
CGaEpjUWjrz0t8CQLKI0QfzY0rBajlmPpwAXLm1qN60Vf6Yd9xjd5vd9N1VYOgOMdwRFlq+kgVMl
j3nVs+EPcN7Z0bBxjAnCntnhhq26Dxax1ZrCjxiEAP74nN7ix9asxvMMNZkwaz/tENfznUoi5g8r
pZSPrtJhrSzR7XWB79aycXBVCk/CkEJW4AK90W1ActAojqD52x3UrvGFsl1FkK+6job2UXnzc2zZ
6T7PzNMUhDeFml5U6b6Yqnafwn68o+9nq10azRtHkD9reKFl5mHwBVuyzSP7gUI7PHUKpz7RSFhP
U81QL8QV2Cx9zEir7POmxy9WVnKHE+6BsQWLIr12J23638loDCuL/R2+S1auHASurXL66aEfbDgr
XjRD+mN2GF+ybrY2fTu9JS4R80LvVU1lzRgNzbEX0mKF7t91ymBzbM/Tdu6aRxqcvV1HwTswLczV
UT3bB+Xhca5mv9t5mWMiDsMgTNrx3hm9ix62C7fvALd2Ed+kwQxmMV1TgCZXDftlSvVooA6vYNZ/
1bFzwzz0IpX3lcvkOmcyTkr32qaYYzMTtcToln8BvCd2DByRW6aAXKFPozWMOyHDBGSKvHMHWgTF
TFLaiG68yX7tyEuu5NKN7oe/fnDAKVDRpKlqIiapNhl55qsmWGZxD0+zNEtz343JFrdNtOkwDIEy
g5lhxmDips78HJZ2qD4fsPol5nTbsVAvqZDyYOuR1Evoj+deTPI4oJ3X6nGD8tGtPc5tojNuPLZF
h7Hp0+uuUvkbEki21RBFKQFhy97kMKVyJd/mcYSIMxHVp0NXHKRAHKUDSx2p/CoYZwSRsEK95ODF
9oGkvp3sFjOR3UTHtuzyk9uDyExjwduXyBya5HrIbDDIv3Zzx0ULpZmOpVxnPyl9ISl9NSWe041W
cLYrngUwAuWJMetHqPAVTNLLHDAztaXMd5hqsvNMMSJ708fYg/ewtIkb6DhwEvr0YC9d48IPnz3P
v3Sm9igF+86+dl8D6snLNCmPsy6p0ym87bB0mFPz160bC9Ohh2CwiAT+ke71Z8ucmhWCV7rjnqjX
oZJwrUX0OXsxKXKa2TeeA7bbQmMBWw78kGMcMOz0W1K3HjrBA32dnBCmS3/pY2+9hPwnFe2FpcY1
N7U3useeraXFXbbeF570UyLsH2AMFmjaks0+ze+ax3FjaNrgJYHLNRFPwvQ5FV6oex08dd5YKlk+
2oVac1M29kMbfYyc7cYshacoIXsFrXs/Kk6JbUeBeOjOYrMM5dzw+pGkfhBQqbIQtfkkr7pBMGr6
ZDQAiw77SVsMq/A1bBgtwFJgY9c1FmQ9uq+i1G8Q4a/6TP8YEA4yDlAE8OJh3KtIvA0t5tFqyrlU
xtFXQ66QU/TCxpdBA2Xa8A4UwTw6g8Iy3Tz/j0DdTRdf//7blIfv7Z9Peaf3+g/1IX+ZDPk3v014
Hq19jE02FkvSZMJlvPptwvN/sQGHu1QKUOEe/PpXf5WnBcPfUubHcsGSAV/0N316mfD4dkx4Ai8g
LSOu8y8ViIjle/1hxHPwewSO+6vTj2HU/juThFS01OiuRbysFpGI7juL9D7aMSpv4/E5jMIzXLuc
ka2/QBfCuoOR6YDAQzkfuVKoXB459+bBWDDzMZ/uAz/wZFscmUqa3mTSPkAmea4HqEFkN3eNGWtg
zNxRAIKdxmJ+yitr6U9vD1ZsPDVVewoHg9EGuavufIh6VssNN4/fh4FbY+I5nOJ8d7wvrfhb2xii
UxJP6HywatTR4ElnTdZPh1jY3CvSGbwb/kEiUeAuFLdaDOtU7BVUeyllne0WLXUMKA7EVf+ESsL8
2cw/Os6unBhP9DxQScWdeJeAUW369qLKhmeKsjLE3vKJnti7mJ5xLkgcCKmc11F8rbyeiSSego3v
Go9AgIL7OaXF0Mr5NtLB/F6mpHS66TWiw4uD/wCptsPRDv4HRHFC9N+Flrmu7CbZ0ULdbgyH4bkQ
CbWhdVKfGhrauyHiEK7K9hzQibQPW65I9DtBiz7Kxn6mhbXe1XP5U9k15PEe6CG3t48gTi/MUsF3
QLwKzC/PxUbGqdcD5aG2IgPWyfK3LMPHMCMYObv5VTtbe9UFJ6eIv9hzXJXwUFp7/tKm+eQ4RNzL
MD0kUMCQsZJNMtZHWw9H10iuGJU34ZS/tpX8obKJPkXtxptYNicz8vdJ0ZyVifCVMM2R5vwwi+im
1kO4nVLj0wfNvHY0VGE6or4m/J7gDASBiyp9a/uMJLzW722QYXpzk+cmRTgoneiaX33XO7zItfY/
Eit9A3h4hzQ92+rK6BAy4tnZJ5wCKK0pX/TQfg95ALZtJn7aNOZ+4v64K9OW7sIQ2EnkR9iGXU7Z
gR8eheHgL+/STS+Ky2Bsdn3h5I+1bZ07y7yos2na0g/93nQI7N4Sr8un9NbhKp7P6IA4nfoakkXm
WI9VXVE6kVJUi9XjNfPS8yBxstRRdByi6qdQylwRpLuKcXFsOk1qJUDT5pdK9lmTnMCscYxqgMul
zVUwZjvS50Cd6zvRYsL98/uB3j1FKwO5lfNiZ6G9vHjCbnmcbBPVY7rpPOMmLPuzJqIE94qPwEzM
oILjM4OrnseTttVNopxnJEWsmcGl48Vr0tW3Ricvxri7i+KWTJE9G/BW3XvH7O7mmZYII3lys/Ez
6qfvwmfd0ta1DXpJZCd/ju1VrAgjLsUTdl/v8MQgEmfdNorVFsjiphzdrcN1QIXVpiZXiE0TLvT4
UgX+vtP5MW8J98y5cVNEcficqsI8GnPbH1g0RVvPXa4czuKBnEdgvVVQ07uwBCFDmsDTpnhJx/pV
zfl3WFhfPcgl/KTdxs+qbxr0mPS978TNzqnX3RjwbuCkN8zh4zpcfrgMHu2MGSti4fLmNsAuhWgo
ZhCgQ4SxtcbgEWkovehLx7zWRmABZAhOSaLJnIcL+GMSJjIlvte4dyC+VKNeAbEGptg7wNgCdS/Q
9QoKqLtmfuoddbs0s/WZvLAn0gWcCagWbXsDcCvuzTrDtRNSrfblQkjoObRummiAWU1wL7PzQ2um
u3nS27ElD1cUN6ZQb9JQ1H/n6iQH01tnsC9ocHoXc3Yt6+TRsaMfPCTe2o5oow8gdU16uLPziZ7R
+QoC8IWUycVQgk4MVHjrlEvKRGeUr6bo70nyWQOOYbsBRALHqei5+M/Z/IEI92oa+U1ai1tlp9/z
2AA0olCwGa+oTLw0fPmURpJ3dX7PXeMegCnkj5wNWF9dlUZ3ToyZQ4rhPmWluq14sHU3HVohm20Z
ty9R2353sQdkMfqWFbtUt7srO+sO9X9eaYsNj+9ad42fXfYuh3B2Fs+h7V+MQX8fmySDUuE+mpS/
BHn9iU/0SUTuU2c6b1MljjK03igSAL4WDnphyHE/UM+RvyDb3Rxk0tB/dlrtjJI2mMznBC6rV+Uj
8w32rDdmTh1CZ2KgMWS0YRNwOfseUl8HNFNKzBtZWE2nCkPRSjXG4+iFr07cPNmhd2Fl/V2aSJR/
O1sbA8Z26acHIBn9yhiku0Md0BsSxa9u5QH389IrP09OksTL1IgTik19YfrAf2LEWs6aDtldXS38
kxZguQhYrwYJaVC86ECZQnSWdDCpG0mw0PKRWvsJiDLbGlFWxPxtF4TGHM+8EPiWt5hhPlXJeslr
q5FLRfEkfEEfoKXlOYi41PljyvuApfwG/OiwasdxG7aCw3lDLstc+vB0nYgNwf1wm/psD7LOx+5b
stI2Cz899U0RbxB/MJUbNLpDueZWKntxAlJSHtJ57lbTFF9qcIw7KQB2FTb9oV7WTjtEFaoKDc4+
Vkc2LOyNR8/sj3qwi1sVN195Hmxjo9gV2txXhrqxPJr2tA/M0whsj3Jz6KsxPp/NNKNC2AWngKLj
JeuzUlzmftpROpNsZWJalBqh9AZ8CndGQrgknsunLNI9KymSiLRRnqc+vK4LibpUxkxI5WQvL9gB
4vnZ7B2XG6pxo8OpWef5CJnTGjhCTJJ09eQ8xyFlT0XC2qotn6oy6Jd4AluDLHsUAZMOXvmj4lgM
hbKEWhUMZzsZD3GUnWmf/wDEj4wmORgDXrH2KTvK63rMra1bjDyJskCsY+GJJ36VFzQYYxs1kOWP
OoOzYsziNTHKr7nI792A7xHPqbUlP3bF6op5zdbvTZw8eHTV4yQ34NvxzG0M0C25r3CiVdf9gBzR
JvCCx7L9qAp9njXLDStyTiIkv1lXZEYJ5bcO5jQulpdxhq8ypN0zzrrbNlLHPMlIaldqN4jmqw/K
7VyU12ZKDW+P0NjXlwOsPxY+y+3QvkmyiB1I/lq57TXuPK5FffPolPWBerm1FzvBWnRzui8Kd6dB
sRNeuJqFB+UbhE9m2QDBUCeGWZTcYckUayZG0twOxIb14IvuYIgqvQijLNrHQ/44FM2J/B/kkBY9
sPU5tCugFLASXD/cRV0HI3pEExUm8yBc6+IUhFbDUBQ+GF38HNvWT1llX5W0DqFV2kd2Puowm8lX
Rmt8k7f+AZ1hP7rqZPnwFh1g1oD42GtRLgSTkZwZ9JL8UvAOAHF/J0txMpM5XAezWe5QE2h86jlS
jknzTkjoBrPsmxbmC1teZDWH/9Qpm+PQa4jiggMk4EqsphjoCW4W/KM7EKIAOLaEbvq10UcPS47X
CYb+YFDYeggycwHhLgFeq30i/fNB8uC7q8Q7eZpz3pKFLms+5qHY13X3yEPgsKA1KKCqLOHe9zun
hi2WAvd2rGKtai/fNRMQJ9ebH8c2/OjC/NluvFdftx9pVwpSnAhSENXgYBS8P+VonceE+yGpOZ9M
QNMd3GL5bYokXVf5UO6jkkbsSDN4yIGmVtYo0F38puXk4S7DoITRRBwyEcStMaxAZpbitaCUZ91m
qDj1/ImsgH6cK71VKas7AXPRToTchBY0KhmV/aXs7cNAZm/jeOM3fHGe4us0gJ4VlR6QgtracLqB
w2/1ZJ7m5mfwpi/8aFdGiOiZNsClonm+mWn5BpE4nRUKwy6PuD7Ofntb5bQ+VDUvvDf3kNUppZhS
zDqUP48bxoDxbeJ3X+u8NE9zaILzL72tXYTHiIIWN4W7tmxMnUzHMNp62MHavEuX4TGpZbXJdfwy
T6D5pbLAMMXLiM9Oyh7j8witgY0/BJiO649laQ5AXXHuzRoPCPR4qo4x0sUOS8Qm4qKVl8ZblKQd
2yv0sV7aSIwBDOVwzIILGqtu+3q6tcdarlKH+h4zKpttYfUUZXjxnavFsRN4noZaKEIqTrGTuWef
ZGmciwQyRuZcofVWW6nNASotkPYxA0khgjHkuufdwV2qDiDQb5UxxNsqMqlQYvtXSG46TaTkdorq
t6HszT1woBiynaH2CcQqmrqW8D33ISMBH5s4idoOAV+WBYrNp6Z+w/Onhy5ARHSawN+4PR+KBKPF
eawyi8081G7tC+rT2ZlXLO6N3s63TW4A5nJzLjcTa+QeUBHJFTAjMoagKAr6Qux4iA5j6KY3IAfF
h+oBxToN3oapnDVZJRcCR9ynAJXL+cbXkBWMwoA/olHQA5jz22wOmPVqo7o0qu5B+kW8Z4a16VXr
kZS52IA6aIJXxicH3F4cnUEX2ZfWMGfISDnL0hL4AH17wXoe6qdaQRyZDErNIwoDzEUxh+IQb9NF
RY+R0+sObF/OPhpNgAunt8jAi/oeBlb2JsbsxR57C1QcDsuuSu+TRbpXaPjtPNxUi6hvJMWbT2m4
13y5wUOxqP5+Y8nruBDWbRtCLAeuzgXi10WBXSRP/bI7SKJh6bhjn8AbLD/2y44h81iYB+myak24
LAqrea+qmFLjqIihpIe07WQRNcMZ/TFsMd7sItX7xpNvwsqfAyN9rWhR2Hms4je0iZfbMC7e0R/d
o7AwjMPLOnQSyqwmHXMAquowusY3g5T5uopqauno4jp4nfOD98ZatZRH8Ekdpi1R9m7Nu9nDzGDC
mhmD6toUMGxsdOk1K/GrsnCSzcTxLozNN7IGOBVMbXInzOXBkGP33i6CNR0dl/AUWJ64AAl5H/x4
DajfubISTmTdhR2bCKZNw6ce+XHFefAHMwb3UEUwrSjAiroBB8bSTMddHXs15A19PWTjbRlnL30v
qdpJztiG70eds9HouODVw2dkYQhknbcTTlOtXBoc2DT+OYDzP1vgP7F7ClCOCaK4SySA1BS62T+X
Cs/qG0Jw+Qcv63/5LX5TDp1fzECSJEYctDn4LOns35RD7xdXevxgelZ9l3c+gt5flEN2w7imft0N
ew6PzXd8Gxf335bDjmvzTQOWyrQGC1K///Fvn/p/R9/VH7zIf/vzH/p/URr/oBwuz4AfgJ2Rkl5U
3zT/zjDeDYUhEapa5tNC+q8ycqj62QIt9cSuSIJwvEChg7cPH9L4iitBqtdIq57lb51EnwGAuzdh
CObFpLW4ocBCdr67fm7eFXuXdK20E57YoXBh8Au+Dbne+sXop+5xssz0Lc9C686fnfpez+34FJkp
iTzWKwYqQRBAgWdRcJjzWDMHEpa+EQofHlN6fGLgQiZpsXTeE6Aor/J4Ano3W9PF6ObFTpgtqLti
jHae32cvcSK8eW2XOjhwa8PhFPecAJjK9KlFfGBGDm3rvkywnxXa4Dg3pK7A6tIFqVqhd1qfgzeE
zVpJsw025tC5V6nBhWNk37S26oEVRdRb7sCcSxfOMWwYColYIDmu3K6FgumGhn3Wc+dwXdQ5mzws
bYa9LvrJuA6Tfuay4HnYdqq2tqiOKzqe59kLpzeSteAijX6Ib+uQqbbqQvuyj0V3OTqDexk1oY62
rpPItzIt9Znhq96PIstqYuvNcKCVCYR85kDfbXV6QV2sfUqlP/r0iJo4e5ooo7NrlB5OpzQKMW7i
Kbtjyguumz6HGQViql1hV4jewoGM3FpGRvPYByNVbpE79ftYkxdtlvZ0BjvPx+s5hzvT7SK1U4bL
y2xrYsGMlQbAMPYe16lIK8SoYgifDbsVTx7bXdhREHQjvDoIpIGxTuOsvp6FbX5RVwg3mwLRb7MM
sT3H+WQSvC0RUZdDUTTqea/Gpr3uJpxAgfCHG78CdDtiewIPO45vUB7CFwmQ8BSAm4TLKgbz4BQE
gTbK6b1rd+COCf+F5Go4J/SnBcsRtCNjczaXs6mjBiSIPJTiseahvivqEqGYhZoH1oFdBrvYOOAs
x0L5H3Yb6Z2FMeAlcWeXg7rhg+dzKvussJix1Up8ADYud+eKZpuT7eTZqx/q+cXvK0A2VoE/UFTu
fJg9SsmkAbN7sIz8LqHARa06wyw2CBAt1qCo27FHhWhr5B46T93Ret/HzWvuxMl9KcoUT4YPWrEN
sTlmYfAWCigrWdubW2FY+atgFji4IUVX1Oj00Gi66o6KB/lgo17cZzlXwk7k3pEPTkfI2BR0XAwm
RcQ2OKbMrRgJ2df7Bz9o/WMxBd6bioIIVuhcvMjKCvFx9GCGheyxCOaL0td4avhqG4CV5mhRz7vI
iTHuxfPsyn6xY3VPDC+0FichZlSd0REx06JSrPLKq4ftOLXOnXLFfAimsX9qw8jZBUYDizlTcMVY
eJa41rKK64Fs21MRxmTTc6Gc674cKVDCFDjsM+qq9pmZuG9jScReOqnlXUirY5nB6A1Ud5glx9lU
ZtdjZ2LDt33NWUiFzVXB6Ie22b8xa2HsLtO5PgNj7a+4xWTHXEoJfNtrtqhN6uDnMiNGVMvLGPVy
Z/vJuKkccOCABLP73grbo2GX5HK9mFrEymfDWaAtYpHpH6posr46lesbhzrJC5wf/i7sQ7WdVQus
Oc5oZInk+O5mzfhQ1F0FhSumVMbt4INrIwPUisyWdSFLjLQLj1ZVivsppnKFD9nwkNnkArooYozK
+eKm8uMTwDr6BpRqrgSo4F2Z0UY49hoHvEo5kIw4RSscOe9jOYoNLyiSiKVZZtZ+fIldWNzPFd9Z
9whl1YTBkhW3uu98U90FJWWBngluu8cvfNl5WEK9BlQfGpx+wFY7XcRtJ/bNSEmv03buRRDzOvmJ
1ezTeEjOczYOtxRXgSR26mmvqICD0ObjkNUsAbnWT69zuFRYTsUtl7HFkvocJw4ib0VNipsO075I
nWmdevMTF8t5O9SchGnYw0iCP4Vlc8Luitd561a2elYBzkX0Ssm6rBqfCjuHOaUTYLmMdNgrJvfK
dbty76TcMmEFgn2O8+6y9c33BnfBxprjmsaHMbga8VCvXRYfl5V2LHzPjqaISLPZ/dfXt+f6u7zv
1Pd3d/1e/9sy2X1W9YQHJu7+449/JJn0l8Fv8969/+EPIMGTbrrtv9V09932Of/0z3PF8pX/v3/5
v75//S4PU/397396/yLosElaTD2f3T/a6Jb2vn8+bV0zaX38n//8r//ZbxNW8AsLWRIh0pG43Pjf
f52wfPMX4dse/zcmEix2i2fvr7tZpnRnWc1aUvp8PBfA6d/mK+x4FAvC1PEELnnxL81Xy971j9Y7
wWNjpwyh1mJy+rvpyouYDhsDo1CdAvXlrMXxUOujM43LwaelIVv4V7TvzWQVhtvfPV1/mfV+P9v9
48+WwpFsoT3BGZqRkcf2O9tfHSuuwCW3uYQtzNbQsDVFS0qhGNlsclzlXhtUOfjuugUGwwLtv//x
S57r7353ydLcD+iF5OLnun+Hn4mGPiiggnubGCWvc2MwiEuXxLTxZHnpevp5ZPNTwIlIcedPZnmh
mJMYTdb9GOP9w6ZLiMbCh+PFDSz6e2KupGcfekUtiYKfB59UNz99/+SQbf3vH/uv7dR/fN2kxZNH
1sunv9qUf/fYKy7idsQCf4M6DwE9sGCLzguzkmWydKN6Fw08qBaz8GqQ83NQVDcidu87t/qM3L5l
QxbZW+bKi//H4yIo/8dnFb8AlH3HloFluez7bd7Wv39V4w5n8KAHbzP57cltsofaTl+8nkKJsevD
I4UF6PqU1l4kDkKBniIQ3xastPwJzne0bbh4wTTHR5hwHaXva4i929LCQ0+3/L4yY5ZZqVFDFsOS
6NbVZxEjWooufBk7uKx29QOR5zX0KYZoZ5armRwAiIXltWgb2LHlQJxB8h9Rt+VlEZQfjdt+WPBJ
V+R6aG/IFFwPpkA7mqijYWTCoqmfVT/560ynEEF90phWTUGAmwTmCWZMsdGJ+wqp7UOnLljSifbJ
0OS3zCXN8dncUbxRZfdsYvYegzWtnPrHcWgXDjQVMn1NT5tPBcyY1HrDh7F6UNFEbMoSZ0CR1Nos
DXg17i3fhk1uhQbepyj87PO+3qdFR4PVxIiUUx9fM0VcpI5vbZJ8IgjTsafjl0IZsqdrPKS7bNZX
GcGOTjoPxuzeqtxPNm0aTLeTE3+VfBygA5oOPEQ9fWHCR3tk7XShOYNtgnYwL4dADxSN9seWwXQT
eyltfTHm9kNUIaf1gz9uMiufVm7VsWJNwkdHjM560voRnCZ1g4ZDQw2rRyxyKGwkn6hpkg+OGzfQ
ZXO1ZaNyiZHMXJGxB2/BG3Wt/ObCSwu9phPtSc8LsTsJGddTEm1xfj1a+Uwv0wA3Ct7fzejAuBGx
+EwLkPKUnrm0C7toe070GpfsN+gRp+rUru5cTAArt0lpK6JzUgr7kE/juBIMKCsuQjehE804HqcX
8p3XNCRle2yvHfw8NJB4st7Yd23dSNPEaql13bNJra2fjIqyVRdRzE0x1Zb+a4EPjQvLjLuW8jT3
jk3vu9MNrxNQHbyWtr338BqCeomDq6pNGhpjifWx7vlx3OQm5bJLBulD1vM3GpfxXPr5Ocnsc2AA
vlLsGocmuWgxQURJf0gC5yzM+LmwrCtE/rM5j88mi5UBdd2EzEN7OGhwX51qFzKzCLeCpH+OnaCO
iw3nAPRE2Jht9oCow+dj9vew3elXnieqqti5R/lP4ZoveqJidcyHy0HlaJC1My+9ag7dtXRayTmy
d5Nrsgtpp4s0BWhoT6V+CKfytfbxVwPcrXgQTrMiVhbv+sR4Fx5cI4ltmOTjrxdWvS1iZ1zzuI9B
1I2sU6jllCOW1rKwj9RSLVUwfFbzgeuGrTDABMF40StBHFP16hy47RnQQAosEnZUOvNpJ7DCaSui
EUAWCr6rwfsYiFoGnB3pse/dxVSBVdG2kjsfSsFSD76URpVb07XEahypadX56B8i6ErxmLtrgjb2
PhtkdAOhC9d0V1QbMZvplsvPfat5ukkc3aRxF69jg372Wd+qvrzL0gaI+wiouo0SNvfR7cQKczWn
3r3RwXTKbZRcbKWPhpnwnVl7RxKeKyolj4bdm5w/IgtibpbcFG7/UJRYpp0GfiM7qwuCTXd515lX
jQkUrYjzFaaJYTMN2VM2oE34yU9leodsOURy5QYkYc7nMe7vcg7DrlLvGBAUdX3Fh3KMKzn1zxHx
uRWDe7JCQ7giPXMicvSU1uXZSrz7AfNqXQlz1+cYYbXDIjkPUQdCBS5at/pjTsXBLNSDcKe9lxD3
oZsToTc4Fk535l49r4p4vpWewBkd/jQCt9ZU5A1itbgOksJEjrVPXmhc1xyrEDuGWzt29oMobqpg
2qaiOjvWuB/t7iEYwrPnYiZn5ID51z/MRbfLOuoNe0llg+huSF71q1w1N5Oon0VtP4sovYeB/FaE
OfAtfzdMipIX8laVwPwUN1ftwCUAcEpMLQg1ZFY4s6iTxqqh0Z6VAlL1EOpbjjzIyswK1AX3nX7I
M7o/SvSeLr3jCuyu4Mw9WzihGtu+wb1+oDiSPONkVpumLM7KMT8q4dy6S3Ou2YeHKJ8fat8FghrE
S2O3mIA9dIbBaybcAZq5bUcXSZk1G5ZavHfpoHB78wkU6BcoLk70SNOt5eII4w0sS6SLlmNuMsJQ
DydqySuSzYHZ3PWqPqRGfi3M6a1QMaUG8mKmf0WZ2t3g9u1ZT1mnIAku4aoe6DHFEh+yMc8S01lR
WX3wCn2qWOeorv6ak6pZ94LGJMcQRzMsdv5QXZo+1vs+Ere4YoMt5Yj9oRMtBYflZ4besRlF+Eii
01iZgAwz6tLoHI6OU9Q94bui7mFWRHKXxuI6dQHEdvvYt3aV8MDFq6u5sUFDi+Qh8x1vZQXJXWlD
B1MKYCmJE6Y2PZy1xP5OAO+9iHnNYNUM3Bvr6950P9MBzzPPBrdags7rpGWhNU4xbxzyo+nA9cIM
ir3LmnENfYjVklVG29REGUssTubRBG1ZxP7JTJ0nWw6XnGThveNyWXUSeHDvWGtvJFFlWbxRXNnV
W/pk5wMqgaQgE9780KpmX2nFhTT6IC317OXcsFv8GUw4uNVCStlTB6pvSsVm3DW3JHf5SUmNH9wy
1lXs34qoOPgx1wdnoFdTzWO9l0ZxDzT72ZrgvXeaPrW6dL8KD8AzrLsHLPnnnmJLrniQV2KYn+38
3I7JRTaV75ZHLsZIncOAVAfk1z3by1vMr0y1GgPjIQg9PPbFY6Pof+3nCyOe70IDvj9i4rFvxmOf
sxd1wpionDeX+6FwfFDhw702Zw4Xljw13D+Jx1qbVqIc1ayMd5nOf+zYp9c37bDfd+51UnjPSlnX
GZoRT6Z7y6UW33KouP16Rn9TDf+XvTNZchvLtuwXIeyiuxeYkgR7d3rfTWDuLgl93+Ov6hvqx2pB
mfFSUuQLWZZZDcqqJhGDCIlOOgjcc/bea1PeYdN2t3IaaNoIlWDj6qe+iY27aAgGrxa4uPJURHuD
kwNJRYm8K3nOVoaTH9knBPSQloLwKMtjB2A9axzu6Jn7DTsp0Gufrrk0ltedG927eET5hJ2zG5fP
ZZrS6ZhmD65bPAXSPg+h718NOf0kkbbvxpSqqhBjfVnTADGUDxG+TmYADhdiTrd6gu1TxBlpBURw
zKnD2erksdKwWSEm30Jqu7E4A69mcn6rStc+wrq9MWP5bE+o5+SgH2UYIrsW4ePYI6dMtQlHJ4q/
DIm5DxvQBlbb4E/VaH/M069YJunng2+3q+eEsjs5PXaaYXvhZLAx6xBD6+bUy4jqGd1TmMxLp7wR
dFV4U6lhbeNtrLjduxR3Y2YZBsxh3FG/4KXB5xrRIMrM+KWtxKOjWP6MAWWZpWs+ZnGg9k5ltbvC
tV4qzn0uVSx0oZHzgFl9q0LnKg2Y+gRjHuL9yVLkyuluITiCZfXUNZJ+3CkW95x5xlPmYCIRdc/d
acrKiyZL0oRlzSTWWMOm7+3mIyTTQCMNIHrsriwKQmoQEvIyXP+q/oyaaeZgb0wRIBjLEdvEIonp
lPnJbzG1tz4K5Eip0+eIwEvjB/MfKQgaQeIvjYZ+iKuW9ryCnftcTlzCnY+nJIpI6QoOIW3aDPu0
TYM9R90rowF67I9+Df7QpXRgvmncEpUNrkbDrTlSDW6Bdv7WOjP4/8RuuXEFMShIrrgysN1znVd4
nxshQ+oqNH3XBbpxiiqjo1C3MG7xH5dLuqJ6r7Dfb+tZe4gUbYomXbqIwiMZmLFJDo0hw1cnWSJq
pd17PV6Yq6mR7ZqN16MdhtFaNfQVpaNjvBhs1lj1FZiqfJPXc1t7U/CM0vBL0aQgyKYUxVLa4hoU
mY+sxocGI2USG9RKQNpZ1SQbLobmhId5LImyWgwgRUnczZCgdzKsdRzLY3uLIZofAOfCyRxtdays
r2y6VwMmASic/qUglZSIcFOzyyJWTaBagNEoa+diuvejKlGeaYfGNeL2yZuKuY/QpU2KJkmo501Q
blgnu57patZDa7eUFI1fAlqVw1Zd9RPw6xHGem+GO7upjrjega6XGlRPtU1xgAmnoovXOLlReWqp
S8aux+1/fuCkd8RK8TRl9D3RDcC9jpXq2iQERaUnUglPldoegzXeMrwn1BbxYQ0ecElAG1FLuQgc
9fgLZyHP0GB4BXiHocgb6WEBfJQJ4FFzuOrYH1HaJY961uxYlnjo5LcmBu1IyU81GWSk8E5rZfso
tQ7kSKdTYFFsfCCmrQThz821cHvPas0NYXzFPHojnbE76EZzNBVG9cam2rlgz02f/aadwCNr/rrv
rEMVd9vQMrwCk9kgtJWk3FHhCsmLEUVouGh+4aVTeSwMpDBsOcOgTmaAUZl2Z73ol/subblhOmxK
h/P5QOSP8jMDFKJPtYn6aHHjC9PaFtpbMfMsmhquhkCDZMJuw/f0AkOLNaUf9pA8WnPe7VOILms/
XhQPvAqF7jGrcq/sFGtSXa/jfWtb1tsYuMl1gPMQVTAogaj3dkZ7L1v8aG1FEbMgyPJrgFkn0fXb
mE3/ehgsxtlaNbRtmim2ejbSTaJOGFnpJ4v7e9ehLCktj4NOgUvS3+lQQAl3yvZUJi4tT35yP/Xd
N5lbG/xz2yyRh7kavTEhyjVp2pUT0YFSA71JxpuErXsS+m9Jad7YgXbNbutkShoLTQigDrV1UYFH
X7bfZOU+FF1TL+fBRxbONq4RZha3buiKdvvXwJn3MDie0e2XuzAtAw2GALaaw0cft1dWxnEUiPKe
ZMQ6iu1Nu9RECux3pHFg3QYRNVrJvC2WVlCJfWGNv5IJKr2hSOCWhxk+aAj0/rDV+/7kTN90O9sn
mn6TsOlIgZu1geS439nDua+MaU+g5FPPxXuQVE9WRGdfPlhHtymR7bCc0x9d6PmlJLq4U/b41a2d
86jJ06QI0vn11hdYXiht6d32ZIVQ4yLiiirbjstDZWY6gMQKfmR6yWV/bZbGIVc0ZVdU1Jr2dZi7
lGyKfTyVHOmpTByKSy0gUc40YQQVeBkQF3ZlrXXircAqX+chuAlc66Nq2d75AYb7qqHMpHZIr+Gw
4cKLing/BnI/YZ11sJ1mAzuZmktqaPaRw1eHUo9IYCUUAb174V7OxolB/qp21XaoafSwyqM7Wi95
qz9nUX/RNeeNrAJHyb7E5z8cBT1fE3XgwCo2vmV5aPxXfjm8Uipym5o4UnOt2uqsqFdxZ25do7yE
Rk28NjyOAu+vKrRdVU6gXeq9lJIwjL6ZS+eWVQzhl4joSX0oovpBUbxZDg3NIIYVXOF+8nfwRDqW
UNjSx0G88Xyc9zasHKon+Ttt3UeYsv1tp+xj1IWQhhIUSTucyzeswtyHR/AYNDWp+W0e9Ucxj9k3
bUq442pF5NUVZeLZaNvr3+wOf9nHLptDB5QVnjbbXJLqv+yDKQWyWAosQZk1LfS7gTzzHY/yO+q7
jUPrkY+482iaZNdg/nZt+del5Y8v7f6yTg0CrdcF1Q2b/IHoZzCuVlhhN2JTEJfZExP4+3f6i6Xh
+xtVLJ45TjusoH9dkQ6mbAqbAXrjVg8WmnqivWf4pP7+Rb6vgH9YEf/lVYiF/biInaxyGqWK1cbY
ObsegBGmylXm+YeFujvvssfSc1bmWn8sXrNNsKUx8Tc/wO/e5i/aQpynfdL7pb3pt+mhPGCl9rrd
vPcP0U5dqV11QNLHrOsNe2f9Bdzg72id+l9RgNL58XMGYfDjJ1C5VHTakk+g306efNeodvb6S+bF
m+iq9oZNWPMw2LJq/t2V/Nd3rqCxIayYgigp//75hWMc4QSseRKHB3+X7NFhb4BDtquWT7xe4Sto
N/5vXtNY3szPv+6fXtP85dsTYDzHKzHbm8qTO32LC3DX7LIdcdB1t81XK7lyVv4KhPf6hOP1mO7s
31zV1vIl+fkncExsOmyOTN74XyDFQiR+wK5ObWYMBdx9ekZwYxeavucm5S4p0lUXQvTBEmxb0LUY
xUY6hBlG2JWR1Ulal92I3AqSqkmdbWMOLQ45Col/dxZo7918OxrkqV2IqN2L3xns0LiWaXisEv3J
qdPtaAYf2pie4yakGoxNbVEGe56Lp5R23N6yTnIef3OV//yrhgToIOJZOF8wSsHnNH65yIFoxQZn
Sx15mza7Jkxv9b4EB8nR9++/Tv/2hZbDs2VzUUl7uXv+oJbFZsBMFSQ8IQ2QNUXd0F2ctuxGOiX/
NxTbq+izLpriW/uzPPtdcv2Xdvt/qa7LjeK/13XX7/VnGP0bWZc/9aesq/4gUGsLm9+D+4txzvnD
tlwiWVwWuvyHp+6fsq6O205JThaWoeO2dha29D9VXfGHaUvpkLfF44YxFzH4T3H75h9fsX8QO/+9
aQ697aev4ncepMvalFeCFi4o8fj5Yml6mbuzCTpL+cIAV+FQreYEC/arIwGps7yXAVWsOhVXo8yo
VpvT4pDXzlsR+Z8ESEPODdiMx7y6RoS+xspirKvEuJqCiqiemx1Abhi7GLJUMszZRuGT2nUFwk7e
tVRrBlW61mjfW3XMI5yAi3AXza57yrox2tuRdQyI1j9FCBErK7aNp8mGmRRNk6I7uxhpju+io4at
iQ2VxRG7dsObqjGqldW0BgMcpcz2OLxqcRpt62Dg9IZz3GsdeSoMoFyxj1TbNl/8UOs8g/ik14Qx
tZcT9R5WXyReO9vjsQrLo0IDgB9ofHYGQaQuonc1iSpnVXIQwRlvHzD+LO0T82s1q105sUjlqQ72
DrNtHVKJN6bbxKE4TrrZTS37A0xNBkItI3JmemHwWnV7KxkoRgrNlyIuav4uFRAhKWMPCJ3ynLxD
PWrfVTfsI5um2SJ9CQttH9vi07cQNoMY/uLoBK+07z0ks9OdChNh3Ix8Vlrj+NroHegb/iZWVPYa
uxRL6NAmjpcfmhkbzdi9AnV5BK220RV1vYq2WU30l3CMPK0ii1RW9bvi02+4ZS/ima+xgbH9YzyL
s2VplJDNxpZelVOdGFSHy1ct128U4o6mlcMmp3L6wHOpvB77+Us99vijI2CihTDfdDf5yusiw2j+
XabCD6k3O30Kjl3W1uuuTj0Rjlcu1DFLUblK9S+nVWteMhTf4lTnN9uIldObe1eNBy5mDbxEc43F
L/60azPbpgsZLunyTRgw2g3Qd1bRUrOLLsV8POlLnpHArT6GvVcYQtykY5E8iowerXwxcqepddW4
wwlTmY93Z3qWGo8TzJhgdVpq6Q26tleR35/MkKYOstenEL1wZU8cVAYxUtAggbss640ot16UUwWs
xBPqhsCgbVwLgbTvIYcxPherPuixy1fdy1jF4b01dZz9sbBts8zY+rV5b1OaXSnhGQM1gH1+XdLK
uGK7m66mAdLJbI1XeYItPiM5Jwtnq3KwfMBAnE3kdA+1hTrMSqWZCFZkCcWQWppQkYOQ5lvd3veT
NxPBfSmErlJnGzssHEVM/lFX2gv3pVurMs56TyuTTpBFVsZDqbv3fjyMnm9cE6K7zTSqtsFfkHeM
6tcMu+s2n9neVEnAPlwkBIWCY9vmBz8NthatjtmQHorSPsdLDLMWjyG9F8vFf6VCF//beBFkFlai
Ynafc4gAxMXfkQuntQjzJVtBeaRPQnrttsOxCtShlu1WatNXTZMMnGSV8j5wqVpc2Jm6u+98dolO
MF200UK7KQ9NjiLV2vUut5NbNzHv3N4+K0SwwEGHdqb3AlgmoLl+77bkY1WVZNw3zBPQzl0nYmY8
g9BSSvym9dWxLJdSlu5Vj2vEdW4cblWdJ1LYbmve1XHKar6+ypKWRPjcg9nMQyo6fXUFkYHYlE7+
MBYnUj3nKOOm5jQMbJNux14fjxKj2eIpLAfMy5HLFtBKN4nF3oTQCtGtsl6n3IUNlmCS7txmzF8d
jRtxrz+WI4XQPYVDeBGtq3xZIrWG+VB1MN04DJLWjbRTmFqfiWO9pK64NWhTkgXXsN5hKoi0Oj40
qc/m0dCfR4szaVJfBaJ4a2RwPcv+KpuKhvybeAs0g02b3dFNUETVOuTOMs/2PUPcNShNlxTytOvb
yQL1onvNXECUxVhATfWqbOTVKMW3scNCR/DZk2yS5OzyabAPG2ayTzhdY3yRw9e+tDRKYSa+OMEM
nW9GE6qrVVm3JJTo2GbPEEhl7xPTP2ARzimyCe4D1AAWmYO/lh1qSzb2D5Fe3wAV/ehc566vyQOl
IQUS8ZWLZzjMYL00GaHegqhls7h7lNvchk1FqeZEbzCUz+u8kt80Vz1HQ7a3RXlpJ34DrWPdMqBe
d12MHmc6z2lomrvW5h4QT/WmLR0v6cJLF2E0HnHfrUM2uZuM+jvXcciSh4Wzr1TfXOkuOIuJvLOF
7LBKwQDTATgcU9+/6QC21kVw7iMSwqUipwfQFUM57mSooJR6yqH8EvEV8EHABhJhc2HCTgPJUczG
8F3gxYaAY10AsnExDCvuqaScLf0yL5RZAW5WBzubudUJAFC6GBnu+6llswqiFuaAS1NNuSWudE2/
1pUNzFaA/WwVYqDmh/tR1kdWm2qLSWLXNrD9siqmohJErpqahckDNZfi6F2xcHQ1C8lDxTsWxfRh
EmZKZ9kR+AbAK4FsVRB5M5bt5YLo7fl+uAPQXrXgeys4vhbQxFWObYyWHCC/EuRYInDXQP/NsTxi
xXluoQKHKVywQcPKAi44hhusLwBhY7BeK63cuQtaOFkgw2kPbthZwMPA0DpcQRB/FVTiBjpxv2CK
0XMLVrnaPtFxImAsTk4zVGPgj2qt9xotyuwjMrtz2TjDQFYLDbnNqY/WI5p2E2DJGyXbbpHurpvF
It4DVHYBKysAy+1iyE3JRq3thb5M/hcuGUBmEm77wsXiPUanuPTvQpiMlubgzE+KaIPQsAtdHgYT
1avGwntWfU+gsIEBjVrK5r0dfZoxlfEE+RYRiJXyADw6XCjSCpz0BK1tjd+KzsWFNR2UlmQnqH3y
hHwh/vuagaXWwVOrZK4OdhrnyDYlXnn6VMPgttHD6wCmtb7Ara0MzHWzAK8Tl11a1mnYYKz+nI4A
Bb6ftv9/nOdP3A+H9b+bPv7n/3iv/zp9LBbQP6cPRgwmC3yTeLnEr0hH21hqa5RlSryVC6j+n9OH
ZkBtlIJgjnAZWiS8xf8aP/hvyBbMMuQPDPoGlFL/yfzBtu6n+UMyo+quZDgiIYu30pa/zB/znJgd
JZkAP4Yk3/mKk5xLXnqNvfgex9RTnkXbTGHGbpkntOBiKiaGqoJFn8GKWBDoPAkFi7/AArPCXrxY
pPcSPYgQq+FMz9WoMRiwLuRb598W7GG23Kpo6Ga62Is42YYMW+vYhDM4TPWhZa86JsmlG8pyOVe9
KBezTVyjVBcDf8yQieXFSZu/RD18NqwISDctKG7yk0SuHePbCNAXUnQjL6Nu9PdWZEU3iHoldAYN
MA34uF4m+po9MTztIsvRXEN/5wOm3dcG6JzAQVcLm5GFhUqwBU5ztzPj1EGEru57tOQd3Z/JQz2a
34wiw4yvpxYH2L5edRlCS2j59Y2CeMwTbhgIARuv/nLeKKYsu50JLuCWKHXiJkipfYGgwHrej1YQ
CwD1DBgk44jmTS2c1iNQaK0ICQh0oCwAsoDkB+kXEt2DBMOpCRAS5gR/KqC90+WmWo1CuKDJz0Mf
srArlYspD3nHbAv9omVZtTb12sB5YZj9uqyzc4oKzSk1Eg9Zv1BFpKMdMlqJaGZrXwzQRVMO9kw0
HO3oF39rEqFtGFd5jmrBc6CMzaDZzbETWD2Nhtv2bDc08wb9R94SgJCmBJQx1wfLmG/00GzW7LNf
A9fYiJJfdGqfagMEeoOWOuJ56rpvTqGIvi+2CrIVWVo8hikSTNEiKQsMoZ9QZeK1ViXtkc9n2EEN
udcp9lmnkoHMJqH5UMDxoLOXGEBblvycS6ebbZvtif3QgJQ8yHUe+g5oJcSbUK/MYyh1FMVKt+lW
K5pjlVWnzJckujDArfrQro5ZHeT7cCjnfTtOz2HZuocxa6KdURBsI4Qf7ZWTfkNC/jIZFWolqRuI
v0FxEgMyWAHHYZ2ZxKG7ui020DIWN2N5Aj0JgS04hqF2bc7BvpvGT8K9iIWF/aSMCHqktpNKO5tI
9m7nPMXVzIBtPUyi/pii8tkyknuAdCcxUh8BZPpSxONdiVWqKTmDoPIuIXE2az18v43p4+KxuLLs
OrvLWjnfKDMilEqU3RtgFK9z237MsDoxI8wubIUs1+kL9sk/9zjc1102SGZmJDpruqS1RpN85Ly3
oJlOmqrnh0Don2YrNuTS3v0keK4IKaxtgTJqxVT+yYCG67aZbzLi46vQCB/nvL+tYCXwlOI7xri6
RSvvPVGCanbs/qDZw0lE430ntGPrcBKyfJjwyJdVnjoIQkNCNo2Dh1EGX1tHmy5gVxnctNB9qio7
OSRa8lHY+jGBYBhjC8cxZFo4nR3AAHoOIsCs5ZbwTLcKs9K+hOiKeT9GZ70o2o2wxLOFC/QUFCZO
uY6Zq40+VNh8OgPGR9vATQFbfr1cWWdZz1g+dNPdUSJ4HY/5ly6cwq0wfcsb8CPRx6qBMxPoULLl
rG/3+nVcO1SVk4BWdoGVUEuMFUuGcgO/EEttAp40DBxPgLO91RdQ4hjxPawnkTyCxQDvl4GKkl2a
reMkey6b8JvpFv7RjoF32r6m3QJnPEdG1qwEI5tXVlP94KuS9moAz5Co2JREavS6NGT+qK3bsEY3
1RIGshqNlHUYaAXFSGtXpn5tGEMHY8aPyahl9qqM+NTTVrx1ffQ+Kvoj42Q+SyPbmzEOBNISJ6N3
9HPbh+Y26ZKvko8fqm7cb/8fO318Fh1HRxIyQVTkP54j5N9uPb3P7v1L8dPBY/kDfx45/vuksGv8
IQToQaYYYsE6O8f/OnLof0AkZN/pknwBMriUvP6ZYrH/AB7Nlwe8KPxBNBLnPzlw/Kx92LqjcEXw
D8UaBwKi+GUJP7olW4M5cxkmxqswj71CH99/OIX9c8f6Y1iF9/6DuLG8hAsw0V5Ii6xwbXv57z+s
3wMX4xGIbSTBxnhkRttRJozXIUwfkVp3f/9ai1TzLyHl+2vpwGBRCDmo6e53oeWH1yqhuNdtWKqN
n43+se3tmgVB1U7v/eRbGd8VKz7EKYYvStQCaXh1HWlPf/8j/BIw4Wegr4gYB/Bv+onAHyxAxx9+
Br1pNDNmBb6xQVyt/V19w1riTd1Vn5AtPlkTZdvpA7TG37/sXz7l76/K0QwFmKvmu6b5w6tiIII8
5vLOcwVmxmRmXsVDvXPK4LoslPMfvxoiHXozESvW+UAyf36PlHZ2moST69UNOZ+Dw5K4r7ZJ9ht1
+Wf2JR8eGS8HscBSBK0sKLU/v4yb4nyXI7qYP8Ltblvh3IUW3O0qV8CQ9G8YkeGCa061/82HSXHl
z1eSjQgn0RpsB74nCoNt/PzSVKFXqsi6wBvNdDzwXLEEjmYyrR7Zq/x+nlIKGslv4kOln5YYq32p
yc/CHRsKVv5UjcNnxKfdP4iI5xgQx5oltlm4+VMm/GlibPab56Y2Yg8LXvoFb4vi2dfF3M1108L9
yCEMjBNJtzzmvG2aHySvEwqRUh9jHphEZbbGnVOB5okpBTnl9FfnPEYL6jlczrE30RQMz0mQRUdA
N80zQVd9S4xb8IjRh+KTJTQb9y5aHKJWRdZs3bZguFbtEIQL2iiuPaWV+b3jckhbnjzpF2ssIQaB
m59PgQbfZYoHRna/1D+shrzp1Jjxu1M61qNBLPOO7L55miwH805c1e4dz/vkUQpwNlVgQiAiMHPo
IfA9F1VinSc6Zy+NbrFEBEfuSbNyvlUTyzwfEhMbXXxVUBaH3L+0nAtfwhLqVJ0F2pkxqdjkCUQ9
hznntrVcOCQaRjsgXQ1O3nhW7W0bjbm1V12enPV8UMN25tUFq/TQYQ82il1W+pCy/VGIL1Vq1uJk
2WXjjYZIt4GLNEmaur5mPdh9NLad4T5N8kOZZ2xl8aCeChLgj106Enwq2fAT3w5xFJVmRDi0dIrw
VhsMTtus+/P2QOZtJmNkWE2ZXKFi4JEUSdjkw3Xa6v74mphzD//AnkZ4VWcwd/JdUjJpMgDY/4cA
DibksHlVO3NFz0ZrcR26lDlLrpsNROtgi/dcP/lpITwgDckear7Yzw2sGC0rteNsK0p7oMt7ITaa
Y1jWITvcOnmQFv5xPQScUzZafVR6TfF31WX7fjIDz7eN/uhL2d26rJC4f6h6kab1U6hIMEBybPyt
Pdvxrak0CqqmT8vW5HQYdVu82Q6A6Wys4EWpnvjEyh04GI6RSxqtixL12hkNSr7qndOoguIoK2Ql
uEhgYTWp9Vvo2YhwidPsO2tstxFrxLOZcjoulQ2YXJbEV1JNUrPpZm9mWMMkoHvpS+O20z1maUzG
kdZiWHeGojpkzMabmZM2CJsp3fhhIQ+izrqHeFzqqEY+jjSJ/Kcs8Y1TXBX4zcuBxIThVNh1625+
6Aa3/Bg1Jt0VbQ9pSLhGqGTTwbw4AVrlAhelmKkno9VmqzgZ7CuModtkMrK7NOM6Y4GIAb2l1P4R
BoL5Uk/4rqvEKT9w6kF5mFsNzp2ISnWagZc+9A3/w6or+uKhCxx9lynZPeKzi8+qNtSR7b24K7D5
3wHjRd4yg3S6GTAV7u25UtcwisB4pwTo7y1+0eesr5IzlabZkW8VFzBQr2yJXLT35dQ2l9TQfU+F
0XyMwlybVyWuKoyJfgmco6hD7a2vjfTSL68O5ibdYFkksm6AsMAVITdhNOp7K9OsZ1DeCINJ01/l
mphAobZxhfDTDce5ktlr3auaejXTHvqzH5pYGP0q2/Or7XcgGcKNjsV8mxbM+bD6WLPqXZ6eBqXp
40oP/BIunigoIgeYXtwlLNCXzcsoXu2ZWFgonPwcZpr9kPpxcBgKKHx1V3O8cFm3k0CbsruiyeIn
PwGRGRA3SzbolILIUlnlVM9kJMNCggk4j+vhUJHRPYtI2GcgQiPMiTCwP+BSRg/DghIYx6a84kjV
3NRWqx/jPiHh29P/91DzRThl/RicE4jtj3GWltu8IViKQ3+eIA9ESAKVE6UPIuV/5TmUmzvXyuSz
FQc4/nFBUL/UEoTI2vtODQICFkGVaNAGlvpCA6E6ZQaF5rWNVqpn2bEwtbHdO3Uwgr7CRszn1uK5
U+nIA38w2Ks4U6gu0JkFwMDA0khvdq65Z7QbiA/WmnpzjMq/18cm+uiIolYrPWUQLEtneIIrPF70
pqYlr+6hvCEpoIjKxlmQ/uR6Pm0nzW7iOo7GK6fTCmoQYjuL1vrU1xumYbUd+cXcs0WybnzJuKfJ
Lrx1FAVMGPsSfzX7vrzktrXEAkKnMVHINW3nDmg0bGorPgywqbPNc37IHZf4Cw7h7/KZng4udBQz
LK90lB00kgTMSDTSuBAk4R3llP3RHBSAFXcsvdGW/Vc317v7f6lTYTJFnpKVjkY2FDe1r8wHmMLB
bdBmDQlII7lUGS1w39UkN6zETuZcRWypZi+Omua2d9rsoWeX58kpnzZzP/EdnvW2fAZQGr3PISaA
YZAdvQlRNX442JPXdaUQFxxNw8WYJ67BODnoHlbGq7HRzrmdvsvMuQT0rQ9VfmOBxtUpkROI31Le
9ZZYN73jDe4ez/rWifNTaJMW5Abe8hBK3pqJsIAOHNjWeZqN6yo6iu6qLC4zOmre3ql4K8onI2EL
xp4kvgjzkFtnt7kZjSeRPhjCa8abAVv19CWp7kcB4hbfAzUqx1IB2s4gdGp7y3otzceg+YqwhMZD
XujidzdWetTyO4lrXuln9k4wt40V38fdID+K+L1Shzj86DLgis146Cpj3Ujh6bLcpIHvJfZNY3/r
yFYWOzvnQUKm1CR9jsE3sDhBXAaAP+RNd4t6HS/bs3GfZyRweMyzYFONh7HWuR4a81aLKLOsYi80
0S7VtA7TmKbI6yR4g3dEKee8URn5ABN6WnuZ0wUnk62bfB3ERzxXXoFdS4zH2NA9YoTcrPQ1Aftn
iwihTF6M9BE37iqVYtPQSOZedzGZ4j5Z2wl39xENCLa6P2ifsw8gttS/hlQZ8zD9alDjgyJKps33
AuN2CD/85IHbd88Rjr/OoYEj3yrNfnI1rCVDT4BDv4kIPxoppvr8pQzlNkm6K7Otr8aFkkhECGDT
eiihi5a8BxIh4RVUufuM4HNISQ+K6BoX8fPkT2twuedJEye42Nd2k0IG4W0PzW3swi/EC88dBDwN
Eah+HlekJyok54nGBAYTGhTfMgj0WVY/x5AXe0Q2S7T8sac6brgZjfU5mNm9ht/SubrOWdwKDnVq
jOG4XoNuhgVn3qdut3PBfC77k3EuNrZVexN7LAMupFZU2zL7iOubIHvSOR+kBFHz7oPTqOfIL10S
XLEjb2wO8S3Ud2P6aiUkHS8hJYKKuk5VyZWV1seOZEscYABEHKS+/UAPIcVxAUJPSgEMj5B8USDN
jdW3Wz0eb81h63OxR0edJy3kHgJO00HG4QMcdUVUlC9IRKSyNEnMatdiPmUaJbTwb/OoAChDwYSv
7QDCDVcWj6Y0gP/XJJ8hOKJOA/AZxyTl2GUBo/LBbxotSSr3RncbujCadcMOddRfVHnb5O5OAKu3
ySY64MOlmRP/FIh5FY55dT13gu2uA5GQeyPR/7J8dxk+EkLAYlQrpqN1118AKa6TqL/hR15p1TPB
KSW+jFG60+eQT6XaDsR25zG96XlKLCCeefS92S0vhF9xyEzByggvJI7B52vWLhrLq6xuPSPodzDk
YVrj77cmAoaogMNy3HgUPod2yKnIaBshppV0+v2g3dfTQOEducKY1BAHzoZSgbpDniQSWRC1bPck
YlPUczSEfYG8qNfzzuTRFlHCFsP3Uj5OcO2YhF9n/RqO9j7BCBJ+66InpY4Zy+mO36ZxKuNzAL/f
Sl6y6alJH+kA2jaSjDn3yNeoJZYRax7TY76yxJ0bsMnGirBqRcc3aTorTWzTvN4MgfHQYtOnE4yY
2mlBcIKLBtSJsl7065x1POV46xBuvlk9ucPtUg8bQq7NzNgL6tuqf8jap6WeLrVJgZJ2HnzoGFZ6
Dg19X9XcAJNmbQBk9FNrO0BuY9rA7V2bK0OrMdAn9dYVLbS00dmWiJloomw/bwIYG0upQax/DYKL
VBGpIyymmb1FXwBW6KwnEuvlvHLEqRbPOsZ5wr12l68HpOL8iyPOfvdum1tZXA3BSau6le7sYA1s
JXIKDi3MVLzpYCP6faiDbhLUzL84GdU0jLX48+NC347qhjPsvsteetPT/aM/PuWgQvX8dozeKjx1
CaeHKtpklRd1LzlwgaQg9BRfKveUuPuAmwSDeWKf4ri5Nujsitm4O5dYPhjtdK7EnViow+g34SnI
7yfgsMHgghZJdgFnmEQN5KwxY4C4/1/cncdu61q7ZZ+IAHPoSiRFZduSkzqE02bOYZF8+jv4NwpV
KOCiqlGdap6zt71tSVzrC3OOSZwLS/reE/EahIppC9akbPCLsKCFWLWx1MJLHPYnduvGND6IOcz0
E9XIFp7Y1iH/SoVUjfIjz6sjjm93nmrQ1MPWQr8EpXNrxhZ5bDcrvkf5i6W85DJjtb8ubdyODsDg
5ZlwMpAAuK2ciyW9SXjxTKUFMHUXmNqlUr42bKm1P6qVLfQ8gAicIP0d4T2Kwddm/MfuCH0a8Aes
ck29qZ37YCRHSGYbS/vI27dQHfzUOcPTPOhUPSPe3RW44OBgKADU9ZG2r6sl0NnqOS1ijdgzLdRW
WIDqhFghyfac6KcsjpNj7EMGDFN+z4e/AZa4kiS3IjlNPLaQw7c2iRAdTKkRR8jU/TQR9Dsxe9h7
0FIC8Z1+41rQfn0teFKX+KSrF5khtph/Crw46AtYAK4mCvwx+XaQvxbasZojAu/yFqz11kgWTzde
c2Cwjm6DuSGdE8+gDW5Tsp+wjriRovikI+1KCt8CTluJSsSu9KcCWwp3fib2oaKS4EzFI1LPtv7I
+U6UD1nYh5wzsVL3kw5YdNG80P6XtIQiVa99/aHbfyL8rgQqMstEyWC4+QKZ7os44ddRecSkISAm
ETARwkVDOY3rrLgb1bsGS8CsZ4Q+5masqp2SMmultUimAWTxKRa/g/mvN64LaQ1q+DWxFDSZFar/
6vCDWc12tpoZiOjzMPBBtKKrms+eVWecdcZGEtp2jOxDnLyl9nerkeYwqEjT7K2ymnFlLD0j/i1e
UY4cX+I1y5uQ0zVkwfcvSgx/lO4x7vSEKkuXfongDIklH58JNaO0QpCo5YGttp5O8LisLH7Z/k56
kMZAe1HLK1ogNYhFYCZPr32/7Ho6F7OjeB3MHYKwMV8Z5/4AO7yiEC2MH8DeenJabTIdpBfAuV6m
UCvx42AJms5qqXoUUORJf1rGj40RcHAcN+QAUTmWyIfx4BfmyxtBNhM4jBoxDPXo1JkCF5CDQjQt
FN9htBY1IJWZ/7SF+by2YA2dUWM+FVLq66bkT9GE0P6ed4Tn2PKlWUaws9ZWaOTfqtKrRsJKouSE
aX1a3V+bN9i9WKXiW0yldr9QthTOHgAfWtfYj6JT3L502ok0dy+Hyrt6O3WBL+5ljTGzltnPFOt9
yh+RYbvlcjMG9YqNyyUjhqQbpHOj41foiEMTv6BKSBXSVbwnmLA/pGI5A0rCB/42NFcHBoksm14t
kzX7Wzbae1y1H3NNxPeCVq/fLh0Uka6Awji4hJlM8W1CggsyWMx3rTpEVBgYCZwFE4EFNHgNaxnE
plfSY7TiFpPbkAOQHiznZDg/Bgn3SEr91bIr6otTPEuLEbAc28fpU9vt9YhlboMFVJXfnCm9jLDq
WO9dGsJ8lUndtqb1KlJ9o3RgHMCeyENHsT9s1HbylRmiSEGcbBn6BMvtCntwxdwjlTT8SOWMT/pj
PuueU9swE5rHRKJYIhP2N8rJm5mFP0rzXtgXOC+bsP+ZyoMof60l3AnQcbj8+TyOaG+yPUvJr8Ih
UHhlcOmciot5nsN+ny7KsRLEeqgJLEP8EowIAsk0TyXJgkLmziT7rUlGsqL75cBsCsXzuHeip7Lt
fCOzT5qB7iGpLth312qcqtu+o3Ld5WYawGEFyxe6uQ7CrpDd3Jl9qasCWTlZuM9sphoWQAlNEhuj
xpscpyR9L27OVdmRoJyFvLtZEGlnm/5llC+gCbB681QDZ5BFAQEF7EzJXrzLPCRdACkwqOHINABy
k2gbUQFXOqVw5hzz4oWSc6qcQ65bxAZyheXEVnElD0AZhshHbRkhBWzWcJllswykEv+aEs2Kg8Zz
Y/QkR4SkJPUqLUzUmlu50oMF5g8R7ZLy0/W7bmlwP5XezPCf1AnO3InjZwHvRxQ99wqgZQ/51TbT
MC0Z9N2MotoKpDGNQYvlugKrmljJTiKdbVa4kYfhyuV3KYzaDXvNjx2+TjUhdyBY1rITA4t3PVqe
GjskGk5RThi332blT8fCs830EsN9PZwRFF+YZQIVf2hwUYqCK2S0r2Mf/Q6V2OVCfhltk1OBtwEE
eJ2+mzkS8Eik94HyjeMQ6kVX4zCfpb+FltLhDQpbi3gBGkclGlnElhzHs2W/I9AHCPXbWm8pEXkl
gSgQfESPETn8KVDvqspob/KCreygh4pHHfnFXs+42qXJe9lYU4Ce5R/C7bshgUbrPiU8xa35k9Mk
qjOE6wYeBuWYfCo6Zwcu87kmrsHpMj/KtH0mH42116qdp5iPaDitTtzeQLUmQlAqyZ3B5s4Bl+sk
FpOqHK6FWeHATLdLoX4apfYtSoWfrHfxB/QupQxqSwOqQSYHEkRsw3qSqCMmIoc6c/Lltk88gXik
iZenbJjoSnB2R+TXJ8hplfoQjumHWSefek/RloQky7K+zozKnbkJFYCukJRQJmf4uZOgG7TfpCc1
ICFaKyIQJmkHL17E2aglGCTLb0LZZPTOoeyq3xT7ZJU9YMvxITKDBgpC2YYXfWrOLZs+IZ66UntO
pSZotNPEgdcep0kwXaWfmnXftItt1hDeE33bQ+GpJFfo6sm0gN5W3UZHgwT9Cw7B12QsHqIecgFm
3M/OMwQiRvxXvWzAZHI9pySDJ8u+iYbfIqzJE7MorttjGibnpDGDOo8PNontzlSRTqL19aGscFvZ
40A2LvE4mxzZRi4Sn4KF7EjnkDUy3ge0905uHDKLJCmYrX5rKVfoWZFvDPS/VYz53rLFqUytPecM
bNPRK/X5aLNw8KXI/IgJf+h7pkKbCVhQuinjng91UX6Ta6fctMJBoqDphyYbBYb3tmlIb4pmaqwW
/VhW/SpTr22T2PlSyTi8kMea/w4MzoLU1vutVLC7MLP+tzIkrty4fe7Mfl+ohQbXLanFq1qaGskR
OBhqdDVMNDkNZG0edrioJb48jl/FmL5asi7+JiOpEJEWRnVaFCg5eppWNyAGzhOhYTCqMwJI5CUF
7yAc66sJ1bfBJJKgLq7hLMNKVXhKnJDSdZylPb5+8ErQPBkSGev5aKmXWc/Ldyuq+3tLaPKlthIy
6Gs73MpO86Qm04wxhEw1paxusW7E6+PSuKRdXtoo/GRgxsOty5m2i1pUzoVifY1s6ZlYoHOyo2SD
MoSaPpMnOGUWsZdFrJ8AIaKh1sv73GDJ1LHxKNlyjMGK+hyf5cvc4W1IUtiQmrhmpn3skkH3MhY/
37WzDpyi7JCM1psJcWSTRXXHjsoeb3kEEkREVCZqDM4tbEZn26VctaJZKSLdvVbz7pTk+UxkeMJM
o5pOJjJYbWofZbH8Avo3t0vaBxnGmSitrglAA7TbzbO+DDOTuBjtySLDhSDKfVub6X7O4Zk1Szp/
jHXK9joiYabNMBSMCrvy0Uzp+JyapJacyyej0fCR2mEhImJA4yQjUdNPldY8iqml15tNBIP5+NIY
8Tnj5mxFeCt0811U5qWYY4TI+r5N1U9Fw1lRRNylTQeREYH4PnfCV7Ps5KCmlV+BLKOcrQJzViz/
XwJZsHYX7lJWFVPo9aPzv1NZorqBZ7RknPzg2Of/Dssya3IDIbDsf7RhKT08kZv/gWWZhFpWQTzL
+ptBSjPzPUW1nqtYOHAEqzF5tP+hqFhCV3N3ahd79jWzQIMamxEjaGU06dIKgsIABRkMNeK8uVnC
1suTgqci0IXiPCttPBL4XUecNWjDhP3l1HQJVFpORPLvUJJDPjLhv3btMrhlxAY81cbyU8Vy8yvp
cBuqBcSRyrBa9tFnkluRQ19mAM4VyJSr7/VTV9k8v6OpJUc7XW+9dXGYPsb/wCwc1mIBHDl6avHf
sStkpXlbuRWzivW3zG7/N9wKFOkXvS1P/zO3QjKar1rU/yu3Qgyxx0L5P9wK3uZ/qaLeh4TWqG+i
j/9zbkXMvsk04uN/uBVSFO9JvkK49/8WWJH2xldCLhKaPi6QjiFAqx5ZH210hC1x0n32mf419cNh
6rJLKQ3DV5Ym+VM0O5NCvMqo0j4U2Ofpk7J2+kB/Dfqxs2y+m2S0M8whKOMpE+ODNI+wa9TKAGtq
HLV5hnlT5oz/2ZqRJ3SbO1Ju6qn8qcgdR3rANyWTaJsjhfTtaLiyAgNFhIPy4nBMXRCNYkKy9aW+
pYwfmBmnDg4gxz4vDXJmPftnp62vO5LqS2FyktPOvDEHqXylGUzcA5QuuYEByWRIZZv64EFvyq+S
aCcAppCqbfVh9Y0rafgQaS4s1ke1bFM7xfyUg/ztWKgSs7D4pKx6Sm0L+V6mzHursUlyJtl7/ktJ
u44rAlpEW5/K1rno1XhBw7jXEaC7llyPbtEpbhiyDs/CiyOAtPSzdWuk9NqJ2J/U+mEnJfUaFLVs
H4ctqxe5+5JMGZdS19exD2XnVvfKW9SGAHYW8tirsK3ZPaOx7PJoWr9oeWgp8HXeTKaWaTy8l1kd
xIOo9rkBtSIsVhhNqrGxdrKrNI5+VBW8EHaxQlh0V7YZTbMQMl0n1NNPOcHZ4pnM88m1ceKCbMWs
vcYwkN+0Qh1+W62W1U1c4y0t0321Mj3CEn6iKrvRaAUhkMlhyV8FhU8xLUehPivDc8ggTZPkFwFb
AvGTZ7XpExNHHEH2TW6GdTpdRnJQLoQ4LsNxKrmvcgWeDbPWtfpnpeMbQjduMXw/L0NWwK2HzmWq
CDsV7Ks9m/t0iZMbeLIBCamCdCOL6EilL0ym1mtmR8+jUb7USQNfRp98EDlsagbfnLBsxWBC1ZxV
EpedGK69VD1oKTl/i33MdphsaAyybO0ELTHTzyHdS1XxrJevq2xWpNUlGtGrxEbi7OU0DBydVK0x
ya5t3RwTndi5ydyDu91RcT4DJKMVGF1RTKcEHe7aQomRMGwzpCBghpK2V4J7GFxVb90EbnNN3mlx
OLG9QCs0xPVxKkAeOXV4TFavTtf7RJKeuknniJ0Cc8R8bBufJCpuivpkFAwWGsTSqe4aZMWqDkum
ZNnIYIrIGfZFtZPMh2xnH5zGfmqyK5Insv5eRdZddJbc5Wtf4VyuKILxTtYwQ9MZTU1Q0j8bve0q
4suWP+G/J8t73n726p29MYDPEHwp8DQxY/Mh/a0JBupiHaFyS652DwWu08cN6FA7ZTHXflewFVnp
bRuA5UD6sup1jKDeOX863gDwOMQ+AJ8SewEHJaFDTdfRh/MYa9WXqXw052pbF0s/De0Ooqei7iX2
nhwaIj8RU+s62pEdlsO8Lm4/GpuE0ucxQqKOv1Yaa2+OPzrHWw2TGtQ35Gwbu/lVG3KM5+dKfp1o
KGW4q1VqHPSqPWCz3LTdQHl0g5JlJ43LcptLbZ/1FIjtl+7cDQEcm9lJnxlb5T+mO+rVnER7Mj0K
DK+vmOApgl0MCEN+w71qDudm2tu4XLvmCf+8G+FbyNnR01zlAIAlXSGUwtoQ/0SdyhN16xJCzFaI
iOwN2Tt5GH0l/Fw7rF63FhdVnH6EmeTm/S+8WNhLeES6c50EEtP4gr1DhYmWaMpgXr4c+YkFzQ7U
s5nvIwZydkyswFXT/1XO3mGE3o3/rG6HKjMoUcwovCoZblrqyXybMQkp5BWOVXo1oxz7koLI4pu7
drTPgFiIxtUlRlrMzFh28eZW4reaUJ7Zn3H6PZqU9GyE8+xU5MdVeqCWLAKaezTeGEZvcptRN8s2
nbjZYQBeKxQ3QXlEUgFzmc6z2IP1/CZME/Djnavms8UfuziSWzPn1RKmRUzfgNAta6NQ5qfe5OOY
PdBTH+CIetE8ud06x3YWItiC1rwkxpsmBc0KhmP760TQ9O6d+aZllxy9mPlmz7ty4SNGGTOt9kJe
OghEDpFUS7vphgSSK2skHvc+3ovso5y/IXnCC8NN0WB6OQzOrjK/Vh+jKSs8BoEiAPxqrzHBMSbz
AwLjwDxmpHgzG2Z8CsUbWfw0X2Mt+0rbndN6tVm8Gc2ZogeAkrzFTO0l5DqQggW80M86jWNA2TRS
DwDuW2n4zRaV2aK2LczWz/Mzuct73A+2oz0hhgjlG0ICCHLQrIzPOrprtfK8ghPKCEmxeunGkeBQ
fOHqj1xhw7MICZXTXW9tNagEGto3FSGkW/bT2TBXC8jMoVrmjKyrcTzLjXroFzJ5zXUc2+21Rn5F
/3imo3HnGHqgYKE8cXQ0S3UccXbqxFjsi7a5qVK8NThxmmp9yMlXiR8Av5xZI5MCYB/bSjXbqTP9
v/WTiiZg1CjNQyBjHgcP6GaCSU6sdJ6T4sWoGYCs1YnvmNRc7PQhOj0VTXXIOURFOexqLCWYDEgk
TLxFgfaEOqUD8hXb3+voW+nebU7xtjvjx45sORDVFwPJg24fVE6yjBpJNZ5gQpcx8hL5y5oeiihv
mjW7TJxwGaH/aqOdnlg+dDZXooRXik+HDycysy3+TTd2evybs9vCKLd4cQFtbQug29ymRvdO6PhT
zbHAi3PN0GKpkA+mAokE+4WOLJZQrzxLtGwXV2A1kkuJ/U9uPA3zd9tlbjWFm7jrAiXRWGmzIAQm
ENdXlhmtIKf62cg/bb3woIS5uf1qW7dqZhrHIdsy38ZCsylIPKpE6TOucKNiRTUQn62e1P53Em9C
fs5CG44ky1F9n3VkU+nIpjuv1b66FI3JjDpTcCnKPyRJS9mnuZwmNmfljScRB8y+KnDMzu9D9tab
ZFZ30jZKziBlwcDmm0ZsLed7lL6d9flmJ129A2f0DYkEmvQZpw2O41esF/pcbDQtfeqah6LiQHYM
n3VOo+0mBuG9FnvytBCy96JHw6Yp/bjdN+huytyvKgJOrYdQ3oGNXVJO2ZCTYH5a4GA40kMWLBaU
eyz9au2/FlkcPiVrec5prPLRDErI2bLaulFDoHYFHR7SYmUfUHe4svVrRHsggaz5dw3r9IoVaI/q
T2t2JAduDOcSJ77cvDRMvI3pJ0EB076XueVJE/vo9jdc7GPL+NYg5QdFDg3ZppIIT2cQXrN7X1i+
3JkAowqMXYvzTol5CcLziLPOYvda05ArZrYfh5IkT42ZmQ7lT0YT89mwYTAl40DursIPFRovZszW
nSXvvzJGJVEEaveeZc+hQgoQQ6z+25bfJYZsIVamomBmVURhUJjiUDDiqOTugyTkJzz0oFBDTPso
DoFZYyrC351ZgaKZN9MWZOhYayT5dqiylzJO/ZkVEJkCOzELV4QSAH1O+VtbXmztLe6KTQtqYXwa
kwPRS1i8Prvl1dJecuOtz7+RL+jxWVlP3f4x5dMlyn5Sq0Ag9Gk2JeoVNyX1R9Yw9dHecEOL7FT1
uzFkOgkjdXoVRBKRhbybBZzg+uqQTcRJ3Q6XulE3puLctajboDU9YI1E4LBHrbAdLaztT2brJbwX
BJtuKsCg+PtYWFyy9KnSfxYNN1OxNTTAMrwlS6xtI3kNOOJmrjwjJSnaVt21pqhxKmo2g1vBof5b
ym9jD9f8Mg7XUfopMgR8f7oz4yq8jhbOpfGx6OeqfrGXF8Gel0mwzgKKufs2/aG725r2HDDQpKPi
ZMo3NVkeRe8uoEDS/tm0iD27WQaPzFEn5QEw6xNmErezZZR4FwoFJT3l1s5W/DJvtmlxrrPDZD6T
nwHYMqOd8Yfs16pfG2K7sdYjRynr9q2YHzmZs6r6zODDZIvXNceSQErAUJsy/JWacyZbgKEOXSjd
6vZYDQ6fNRXsRVDVmU+c8abnqgLRGWg6m9LhqwO2MCX9O6lzbqGdjBrpjnNtNaJ0s9CNG8edGEp0
KaY+/Rgmxa4kAlOVvA7/ZWn2JOPSOznybumjI2ZCPgOpT3KYp5r3VSak7HB2gxxY3IJCNo8yVr4u
JjC3iJlRjt0hRppoGE92Crnht+tyblUiNMqCiFyVDrGlRPh11Mmf0CeN9R4pLtXtrWF6PsTM55Vs
i1yQ11BDe/eia2869sve9FX7grR/hV82LIW1XY0aR9jxrpdpld8TJ9qnePjb8GixtCjrA2PYbaRf
S1zAXDr0IZSgzQHW48oI2Y6CB7nLKNTvZtRzn6GSrC9ZstI/AvBHgRphVDF2WgLTJo3Zi3BZ9peO
Kavp7AfpEKnvIcHA9inhy1v54RidO6ivDd3V8qAOJ8VF2K+csClNpjlhv/NHJwpiOCeDzizxZll7
pDnoPbcq0p52+bSyfjuhb5YqD3uHX9hnYtHpCamn1YwVNwkMTWBiucMkyVVE2EY9MTS6SSYtJl5o
GYZn/TFgcSzC8Gq26kdWETJXeL2i+UPjHIwEOprq9e1DajhxhXE0Rr6LhA7SCA2Ce6eVGRuXrPZw
N/clmo62JeWkDv1Y7YKYUNcxH75gYh+bDj53KVfDtkwyr9Blr2fGaqA6NJkl5Zq2l23x24QoO+Y0
3OWxeM5rRIaLCbu+Dx23TADeanr1KUqyLUoBP8liDOyljiGoBbtXMOD8BSfeN+0chq7eFlQVSfNj
y5ZO9MnyUsB4xVXwL9WVywTr9RnNmxQsJXlDVv5iFoxPirDDC8LnXS192QRYg1bvZSklHMQm11b1
IjJFI/bADByzxQecBwnPQFwVbrc4b2J2Tkxdwa3sIDd5nVlubXZbUmzvWC9wRJFOISrEkwQiQj3f
sihjOSh2k7CgvpSHsrc3cnHMcwkGJ8xMq1RySjDnz2q7XecUeEv7cwuvu+2aCwntAdRUwDPIbCr9
3bDNFyPn2emKJ3D7Qe20Z9bJ3mxEl7BDednU3TaaNC74pabb0mZ3MKx7AcWoV3nVUb2gsXL+tK46
9LLgqFkefSZeYFGAXUVittjfS5hse9bKNk8hZi2y4t2Y688Yd0XJNX3ts0+jQNFZb1Peh3AY0HzC
qgBtP4xghMt9H/vzdJhF7hZLtBOx6eqV/gWiHClTQhrLUVdbmk3KFgst7FaiymtTpgcQejeYkOF/
ufYYuoBpc9XP8dvzp/0a6oCKBtsQRoTuvjANFxO7smylLeJc6P9xM7KgkaanSsXz0HL6s6W0H8jg
R1R53Fpzj83X2tb1U4vZptpNrHDTI72AROZJrHjqSPIbJ3J1UJZT1D0QOcrzBT2KYX8ZRNJE/4A8
F+It6TlPL51xHinX4rNY9mg110giRpzzzhmZCHcNESs3HMOsKK95/xF2xEasiyafKVhfHuKc+vyl
5PiKXoYxUMO3EWFjcTXDMxxedGozqW4+gkJhAo09dd0xRkADrrlLIfu4nC+d8UwG1ZYfzZ43lDwR
mxWUqMt8QhfCZm8xDwwXiEyI8mdwSIIInGw/jy+y+G6ay8pOqX2aQueH4KEEwT+xeggBf2sFnXH2
QgYKH1nWptjUrcEbKIUynkw84ari1g/+V53thn4tRbP0MYnXUjvIMXpjGItc8TjL+d2xFXTGvXX2
KqO0wdWoXtt3abxpw5dW/AyEmVZ8Axqd3ltSl6Rgd/4njLvivC7jboF7uJ73bAinam+ienKcf6oe
VFVQajda9ALo5ALuAS8810P02amXuvhrO4Zon6WD9FcG+6MjqtmX4deAKBfwug1F4DY/hzkxNQli
UfFERLuZM+380spdZpOpU21HQkFIdtka2MCT6Z+dzGiUEQVMW/KwsJzzqdJedFpbpVFZdipUj56q
cVV7qUDfgm6O/CLCKHSQPUZ+VgxUrifiKEmdbzmiUBZ8VaMPzWBj9gGTE7W6zGmwSLBS+Fr6q4kb
mMgo9nj9kXhvsAw+Gl560owFHbKP8pcWSsikVbVBLvmAyOTmfaGCzG8xcwNBY1a5rBnk7GFZsK4u
ooJTWTxSwE5K+mxHgSKfG7HJ6t84kTiwgs7+5ddS02cpdescmtPeaR5adxnkCzRwI+efSr2ufrLq
cyKRdmM+mNLY/QdOjAqd2EqWO7dcqOwMsPORI7kh9Z07AuXBuNhI8k5gqRjMSMPVLJ+5MMDkI9TV
bGvbOGeC160/1hhHjZXrUIK1A98lOwyc703M4pS6wl72enEYUo5M9cEcAjfEYgXISJb1lq6fDUiZ
cKrYcJtXiXGwRiQY5B3Jee3MT425QWscCIzFHJ7ILxgy7RahTruJ6ErESS0+Io6+2T7YLJ7FcZEf
i3Ff+muKioOhXBb0xS5HmokbATL/OXdgGSDSoJrjv5mRpOo5SxnEtK6FuBE9yBBAE9vCRcrNwCC6
SNrL+UmBZ9YGVngqEORV6SlkMmOTfO3G064M/9XsRmsU8EhRHfNntJGH06KHn7A4dm3Ubvt8W68t
YuKm/UdVf6bI6ZYQwNq3JMAKz6cMRZMxfsKZx/diYZ9bjxpna87/lsiPy3PJ3lj7TWlTpnpfycRb
tJ5m+/hqwqTfMPzcqs2zPN9IFMZyT1QrE181++Oxn1qsEr86hXnc3ifUoT1J5ml8zBgvJ58Jq1/G
A13+aCyPnSThMJLuGSe5ZGD3Vtk1rgX8SMx1Mmejoc5ToeChzF7dMU29MyccBoEeBgg6lNJrUfMz
LGqTj3q8Wo9KnNP+ZSCGJzM3bX1MzB3a24zLo2pvmQZdhR5uYxVn5G0g8lehYOsrGmqYS92dsXu5
QJRoRoJe/Bv41DRnGBybDJOh3YE3nH/mTuK2qdxCgncRzVvIdmpPZXLu8OzkuRd3D53kccYvBpYS
WFFg0MaeK+HdSQ/sWozxVOg8l+bO0J/ohXXcq8vORjoikKYZ+8rgFVHOsRJMDFLppC3jPaY+muvA
SJEao3EW/VM2f4fIirqQkNlh8MXk7LKGjJFi3PKDIUCsnjpi0JrCeG5t8b4wIKtTUGxkE7ToiMae
wfXIDhQuHX/ZQsyseXaoX80edn1oaIGdNwcLOpWYBi8CMqW15WF2mIHhrfnBg3PMjfoMH981Buj2
Z1H/pkjJES8c8LqiWkFMdMfYFnRM/3VW8RWfOQ0+uintM8cKN8NSeB25K3EU3juUU6qCbI+LXCkd
dk9tUOAGXpO0mo56lTV5TdKFPrXEBSjQ0803VTP+wkIFenaKja2KlsZB3DWkyo34Gm8hlRC4GdPc
VLh9zv04YA1wDiqD/dpgABGZfm+UbEbeLTt0E86/jNPbNrOzZYkDi0e/LJUdsMOXOf0M5Q8EX1do
kJsMBb5Ia0qWLihj+WwytFbyvSYEggRm79WLHHZuZrMTC7d1KAgWntDJf8jhLloOksw5DF0oSS6E
QrulZntRx/oE3m64XbQ/2sCsK44J5yeIEtc0cjeSH3Lxu8i2ZzBcnNHhTtJdJOAOB+DZ5He0PE2D
hSQ0zXZEZQfCTL/jItvp9TGSfxaKR1Ch3Ddkaybhk1lIG1CqyC0tNKwHoXD0qc1etf7GtH7FH+an
mbGn8PFUgCea+FRbxQO92UoCCSPg/oyeJym2OlOmRa2CWkfSI7NVyrXkZqTiBxNrsJBP7ciMHVf6
n6Sizoua/tVsTS8FClrr9os91e8dbPvJgEA5yOcuWtzRgsYM3qdDe6JrJ3BBBJLsyLXdGVEUYFH2
57rYTo3hNzhK5aa8dBpoT3ZIaU9xKuQdTFL2mS9GnftJeGqa56R+KRT09HPFaqe8xvHgZoiKFvML
xNl2SR56Z56yUmwzDAeYzHdNOWNiWPYF3Ygz0C2RZxFma9EqB1q9bG1YaBOaiiyD0ShaGp8cK69y
ylSHix56OWizQTe8qlkNIgz+FKTC9P44B3fs/7bLEl60kc4sV9JvKSEswyh2/IVrZrx1sREMHRvD
XngE5aAIjTf4MclTvPPpsuo/RIYmE2qbhkYhkgqW3cUZXmz1R6lC1AG01k4c7ueYB8gg/4iQXyWM
toi+Q/y/ia+TRMNCD9s8PMR8IBomReGEbSJW1O8Y0XrT4OAgwXAu2XAxpiyxVRDC0DvgVbaRdS95
z9HVrwF9xzwun82MjCHa4bLBDprH7kQ5ZEnNKW92ts2CwXL82SaThBCpZKxPkonmjt8vgmDH3kVv
j7MREOPHSrsJwPj4pcy6YkoZp7Fxydh5CNRbETsiHMFdKgeyzEaVAU5tf+hN+BQXeYCdHrkuA1il
9/WBLRCRDeEqjYeQ4ThsPXFljZH8ZlTm1maGlIVfUvNS5W/W0BIGUR1SRXe1jk963Xqq0XgN3Vms
a59lad1UEg4YVcn87l9mQm9dUdlHOjNG8DwcxRlS+ngsPCKZgQImu1yKz8BQ2YfRLBMF81bL+mFt
S838rKl3bWHazFWhqyzQwvHNmD+TBf4lM12dQdNIGk54KkW6H0Z4BCvAoAn7QEN1b8UgJY1EEL3M
QDAjeYuitR+U3aK+kvcx4Tcy7llN8c+UQYTZXtOVAMU4gw1G1xU+h7nRnkSlfcg6gwfSkXZTPwZ5
zEmC0UFC4942D3WODzWHoEXFwNieihWSbAz1qDTuawy2VsKtTBPfTjqXaX69lUSA15oK2DnnFVsK
gaoI1A6kjJk/I0qagadJjvrMv/VflJ1XbxzLmYZ/UQFdnfuWkyPJ4ZAc8qZBUWTnHKt//T7tBRaW
fFaCYcNHMHQ4nA5VX70xSzUQcNg62wZ3aBdUyK3NrAVLCN+mxEG15jxJ29nagjXb8Ub+Qn830mjT
jx1WdLnIi/JxsHxSrgSaZ34DP+EMFr6ZqXYLBv/Z0a0FVfc7T9KS4XK2nypSvMzmvrG6Ywpd4UKG
BVV2qkv7KFlumogZg76QiLuqwuAktHg3gBTZ/nSSRvtEuugC985Gp7dD88ONHsr7rvA3FLQtzEbf
xcGwqKbw0JcwnSEzRBO9pS6vVPbpt3BVocuXrU9RXp99p54VvFfN5YWKu7shYDjo3jwMSkgAt5aE
7nODdQlVN1IzZ5nmndM9xJgji0ydVFzvbTt8JgPyWNvNQjYDgW68IWFKiQv8pMDHQkpRxg6addu6
ZXOkiklVG7/OlsQgkX6wmaB1Vc37NRD+j33LH9TG6cMl+9kD7aobs22PFm42cl2DKQSkJ4qtyXaa
jtrCC5c9NEgOP2PH6sxfP7ZmcpWufu4Mh84fi9VfW8twJHQV1yztSF4Z7J38XFNmR5jbOi8loc2U
TpFYTgvVAJfQRvHOTJwfImhPAyJ1KKr2akqaGSpxMSvwk8FqbrolCBbNc5BA8r02esqfwL0QJZQR
7kfVf5Zt1VMcRQESJtTvLumT9ZR2APEmugfXLSmdQd7s5Gb0ZRR9uQc8lHvqTcWTlij52DjzxmYB
+qNtPDkGIFmB8lR3ToYQ00r0sJsiUh+5gW6Gg3ppfDba7EnVrJc0oQZVq5EMewETqoBYpAwevTfe
ylRURAfmhlh2Xf1GbtG5U14PDDhHd5efXkHIuE5G1iqdtG+qJbUF3hbsaApCS4ygAiJMnH0LSZQW
vbnIezBZe0IIQ3+Tu2zj3oXN8n9YY/XZuDbpVOIhZWKqw26vas++Cxr3NY6TMxAezdXYj53oLUjl
JoQYb2xxdX3QXd+RpJAP8UWVDbQPlkmnSY+DsXH8l5amQD//aVRw+s1SwzhvBMGyF/VSaB7PHQER
SASsinFCxafBoaU2C9/nx1eNmNJJicOdsKwGWlxiJDW5R7HeVz/qRNHWW09d9bJ6kEn32FQfoXNN
5MjpAs0D5kXHjp4m/v2yxxDg7smoUzGQi/0t9a2GGtYLt6b1nomKhMHuqiPnlda1kYphdhWO39HE
Aoxzt6WEkP5EhkZqfbuGeXCaCI1hJn1IonpblsOKXMCSeU99o3YHgvkY3OgpkyfT3Gcamk4mtwLR
5kTA3tRDEKe0qno28SNPnoclOCLLHi2Q6+DAe+1qNMn1c1E/+v1KVTcRmhg8EG2nh1SncYPsuVJb
RGqfoEcgo6xf2y1IlmOgFPzpZR9pdNV4GZJgJ+KZS6wuvQzvoYpO+ugfjbZ5HcdDykHUatONKfN1
xPcX1r0fsTzytSzzFjrVamxqmrsA3/PhajIIdJEH28B+C54RatEJ4xRW1sdyjD90lo8UX8+YwPQz
imG/fxw9eEYYm7iy7hQmsWl8spmpkDbjzIOdhMDbNPYNMepy7HnS1bsTrJX+HNgfbnWw9JiOSnGn
gQ756cuUT3AcOzkxaXH69emvoQXtRaT1JrbxOINidg6IR2jy/7O09Tbe09pAsPgUDNMSYGY75tAr
vn/t8Pg7rNdZKg6WBxKN2aUMgrU25McpsvcRZpi6Ry3FCqYmcZ9xYJD4tPuDYDoO9adU3HzztZ+d
QI/RpIP+gnxEi5SitJ5eTHL4MCy68KslMy+3q/pQQ36rEUJINCha/ZYU4Rvg9SFooPJLLd+4IlG8
BvbTaA2rFiMVMUQfLZ3ao9fiCDN2HJpW/JAHH5X1moBnYLLSf1W9/SNhr7/rjPZ74LTmpBo7Ym4k
9B9Dhlvx9Brq3NZz21EKUKqalkbmvUY79WRuDXFzr9BN1LXYexOUncAdS7kN5lKU91jtsA/TB8/R
IjtOSXZqC/NJAEKM3hxDk62HvjoRF3zO+uYY+z1dA0SAizdBLmGVQN09DNpXyurc918JjvVsejFB
9TvnZCXWY2sFFGYKLj/A511oRhyhklNjRUvZhGBInzpqomFgorPDFK65zq4GWGPu4h/vx52GSYi3
jxhA+B2Gl55BvwPXiYEvVTHuqTdZe4HOBosUqMDzyc+JCBsd7wmae8oNqqkcsFzXJh1w7hdo4yXB
lse6ADZnSFLACzy2Zt3tESPtg95DTZWvqxZZAu9oNMQHw9RupCfdAvhrctuxUZdkSjgHIj42AzYA
JyTiJQ42PsNsVfCmI+cq4pC3ZjtwpCkybRNk2k4DUCA9Nl6UyUBEUgCOS/9ha95GGxBTn+C5kM72
5FhMt8KJXwuvevRrvlJldy9kb2t3sAoh7Jt77QE1qczlSEJd1tq3qnjTcDadj5ZnS/ewpHvJ5zhl
t87XGc6m6+gli2ayh2XXJMVCJZ1xkibOpiGrL3brvkzCOA8OHQBdUbMdJ8MbdoZZgbN28/wryBvg
5gmMkUYFuCrkZ+EAu0A40b0kvmsjK9AkYyx/JJ3X3vU1h3Y5JRfNG1+pjb2M9hxWUBsbUdebLktW
htDHc0nAqd9ifA0N76WTmvfg5PazmWSf5M0jGkyGBhYZat8giG8hh+cCpJsVTlL+MIC3dz/iZDy3
DWaxNnVoUaxxGIeEi+PRQ48fOxpEf4TZ7hlN61HCQrUaQL7JE68OBV8GGXdW9xeTHokA0gyElfzd
hYTPaNot9m9SViYWN5GCLhQLryvemjY/B+nHAKBKzOd+pF+TZTGLYwVeT28ZTRQClqQSdn3HJL+N
xgyRk7WpTUBCN8kwQBDjIZuFQuvN4e7Og4zz9GBXlsmq0qONLL1DU2uXHGysDIcbnZHrxvtIqGST
fovdtdiRd7uAa+H8PfIjGFv4cz2GC36B76lWn5G2UVN2yvGW9JzKjOq7HO8Vzx1Ww1zHDjauJohO
C4MoIvX6ru6ibd/8DDKiR1mSs2Q5OPWaUgg4kzmGc7iXGY7/0BdH1/SOU3OlJhedX8rwH6/72H9J
mmgbheZiwEdB9SYrxRyS4XKe0Q4h/t4ckQFJNFitwkVKDEEUFQADwaHX7iUs+lACs3eLhtsxB4bZ
sEboDxPaFCYaMHnuaf4qcRc/x2A/WaFDwUd3Oa0NJWKmOZqqMa5ZAWQpvwqNPkn0XWb2WVndpvDb
99q7Ea+w7tpTCg00zryM/zLZRCkAYGYQPzp/boFALeOxjIN9hmowoni7CcL7xOnWPVC3F6DNylH+
WdquKdB4RowcYcuc9Zkh5UAqv2zDGskLd7vUTuD6FaXHPVagAqeobigII+ztHjsHzZPCWEcIf2Ie
MimthwH+SdJ/nHLly9Hf0YW6By+4kDV4X8+FSTi2klIh+bN27PNJaVOxy5zdonBt6FLCQ34P04la
kt8sbO8t7aRD4Ey+9+UBl9IPQp4DN4PInbaNH2KszElxG9h4Cfc3u+w+IH3aNfSDika8uDr0N8iw
1a5Udg3Ki2jIGhnbO4pjFxo6Jbdz9qFO8LOiuBSMD4ogDdRhBCiKQQdG5SyUazLfgLdRSBADVHhM
+AzEx75zD077LcevkONLMbCX5nRjUTNQEHMQBuzZUBJ5v2hFfNQMaGXCWoNa7vEHveoRM57p4DDm
SJImNeeLSx1BhAQO3mSidcHuRw2/odiNdbUbxp9N+O6TWlaY/VPD06e1zVNgyHXF37f1c2EwJlIF
WDf9azj/OGx9MUW/TmYt44kjRyDvR0+7D+iFlF25SMijdr121XtQEFayany5lSSNuUhIgtxfGriV
HUHgtAfoKJKtj+vOBqOnP2PVd4CUEJ9Cl2uF+MH0h6fa9QhwiFAdvTrBR4hSUnQvCbb2VltMCUw0
iqqai6nPpy/8aUlKMBOPqkscXzNwp0jDsFx95QCR11yWlElfUDpBjdkaKpjLy2geXhqqNY0G8IHs
7Jb8h6Za+0RS6drXiDJBCspiHapCECGnQBI6OoxpIMLagXqEBJmiiwPLUdVnT9CUWqlNOg37gapk
G/4lt2sYiyMexx9B3RzpslhVprGKrHRXueEN216w0JEHT7QO4fOF2xvA6i3OELTRv6RMtNRTbFty
s4IJwVsjFwbynRBwYySwYUoEuBjVyoH7LUztqxXZ2bb0q3S8szZEl9T1nwXuRAOcytGx25vyWUT5
Wyq7ZVv7C6XMnSY+S6y1LZSf0CAea3M8WmhFiKoiZipaDmWHZDxW6yoEiAhAguPYepyIYMHaToRM
w8CCS4GYn2ZYBeZ4sUHuQ9j4rE92gzbLz+1TquaoNMoQI4NrY2HwhZD0E1DLqN0nSjtZsx32edZP
GggI3Vd6pHAjvrc5si3hrMJ+62P6Hsrvzn2qBxqw2b9RK893luh1PZJHoMJglkMAr5YRYdjbQX+Y
hbUNUsa4wyD85tEbMWYM9DiTo3vN88DpaQoqCKwO2Yw5S6TSxPH5wr/V9j9MmxqHaOEB4/XyTboC
QRBHTLRxYUevBQLM7Ci8EjL2nUyLZaUjNy6SdZxFp4HogDF+KfoKTQKztOuStgcShBDZnLPDFkH6
TLm707EYojNEZVMhqCKTfjGOEGyoc+x82KIaLgE9I5cd5KCRksDywiChVdbKNuFK7dc0/Wjss8kd
RC4VtBefl7AiOoOxRH2Gw1p1KDYD7Rkn7WWqPnPk6RYx/LbAnZts6FeHY0/5dtNG8Ja4BKNeIpd3
s7TvNJf85zp60LMPsBQj3WlUJzkFVa2czhRdlqGrkOLtdQys2leUfftcHGMOgkh4PkGYJgMe2ckO
w0BBB+4FU14tn7by8NLa29D/yvs3bC0Tp3ppnllo8uklhiFq1n32Jh2AC4q726tdE8u9ov/aGi54
MvrmMnezCCy99TPmK4/G4RhBBDtdz4E0+66KDfR25G4d+rZHYCgwalVes/Al7hG4gtgg9TCtj6lh
Bdh2zhGIqSROmDysOSdJTidNN9dj/UxyXnDXp4ixe5+TBOg3i47GToZ9oESnVzf3+DYXWq7z47Dj
B1c7fRLBRffPEQkrzQ8Ld3z2bLFo9XawdLpnw1ka3B8FRISHmkgQ/KXmRsKxBcwhhraqUI969jXD
OmqibIV8Wo7iATPMNmEskire1Pw01SKyeGO53GbJLaihDklHKPtXxjk7xr3AGN+d7XJhwJA03SUZ
30316atdb6Dt3qro2QuRHLfrDNVxpi5zb3AodrF/SnH4D6eENXDcZvShsx4HOyKnJo/z7iWJDsbw
QXKGoS6G91rwQpZHl8U3E5eUqE3t3gV+84gtjnYaeo0AtpPQq3Q5UDhNDuCyKd+jzjva6ABjhHAG
CIcrNhqCbQz/sEYk3uHYj9e2/VgVSFbZyiYY+WZWXom7HHmlRcST2lXWZiRsJoVUVwy/xVlTpCGR
b2MjE3xpPYlKEZ/d1ABkXRxC3nEuoHxOeMPRqrFsaZyacbnyFO3FvIQjk2yfZH/xMbxiNiJVbehW
pPrsIHNIzqFENHn1uxViGmf6NIdTZR4mVF96CeBi0Fqw9mNtrXVgPsA6NF3OonmynhRqVoeIW23b
cbx2B3On1NbSXyxJy/FTmp5NTIJxxnFgrbIvlPhe9JIND2V9DlyXBJG9QR82IcwJAY3TpXPfR2Mz
OQwp+i6r9rlRrMW4L1DCeTdHzaGoBKj1FwOIpPs5d0SLAktksnOR2mXdxCziIJycVRDpna7HT0Zj
LY2qee5rc2WHznEEaTEGYz9rSXgeimy61bZ1n5N/ASX9WhvWgniH9xSRrimSg3LnSJf2YYxIMvJ5
fS5EBKJBXeo6RneSzFD5wwTjB1sIKkBpIayMYKkilvGbohzL7RgBHyfQwQDVXN0+pgBwEzNsxmtX
0MyTz3PKo+ENq5xPSa6CwTlKkPpywA/pMoYHN6ZnE9CvD0mDlatgGIguOwroony6teWPXuIwip8K
cn2T+i3sPxqxizpnZVWwgtacQUNn0k24eCMkWRPlSWcWI2YVsfO40pxm2RTHvviZo/zxJqo4w1cv
rTjav/YTlabluch5HilSqt0HHEEOFLWWEPJwzNmcw2k7psMi5X4p+4WqvjHEGZ3t4vHaGje7E49x
ivUH2UNnvucTuzuvW6IH64ixVCSESu0NxKfmlz280QewBCAj0IrGNOOYtx9BwMXFyBX1zUm3yUUT
p26E/NkatQ0VSZ7sQxRIZF0Awu59iLI18ehsLG6BznZCUWowH68ERjQNBMJqnyqzXJmwv7p7X7Ro
JiJ1MGZYOWVD/+zbaUEh011YbqxoXDT+m+u+1/EmSp4Mgp8LYGfNulRIgHPuBIjZMkiQuYB0iANO
bQ6anM+QMjnes0G5c2HsO4hHGqruKsYak8IPs8owXnQ3aMtlE+DS4FoWdFkr89FABZPhKdILtdcT
dIu4FZz0q87KXVj5lBM1+0Q/C/GtUV4E00gxRiaLNcjGXI/UZB4Gpn2OJHWYw5mh9DXVIzZktVf4
918rb+2Xwap2HsYWsUy7dsddaiBzitfwgEj7nwPvNjTkb9L05fBNPV1b6GMPzOatwzkbL0c4q7dv
MY2VdCNwwhwWNq57ur1WIcELDSspHcU0jWRLO7ovqXfsmd5JrtpMMbOL2R1oD4RMI6aDGWssKMor
n8i5OgTtxqB0Iq7RlHskZWLNwqDnpYqYLmNHLtRhJM1PhO0KeoW1dtZ3I6PAQLpq24Q683yhog8p
SbjwAIDcRYjnyROPAb5LS69OI/hR2T2WZPUBLhqCanfLXhGWmSf8FIRtFDasEqxdAoq3QpI8TAeI
gmXn1pt57MkANyeWbBNLgIQnsWdPjbe2rG+GPmKkKsyb6ZMfkmNPbE4c71XFGq6Hx7BL14YUe5dG
RNNNluacOlXJJS7rLS5YKL2JsG6kYgnS+Y7q8lqcyIlaVegNws5f+gIJEQJOM7yXMkLci8Kp045a
e8tBCrT4OZI7kcLUUnPhAqY01o8BT57ZVCuRnAqHC2bspopoK2hwSSl2gZ9z4CcNVJkVVXHoKvZz
pf+squGeDG4EhozK0fiYKZf4GLxqfsXtScXKMcpFQ9BhMNynPFpmIHZMRvuIYBOWq60v3b3pH4ng
3apgh8sWUkAS69guTKEedTJt25ymHW5clXFK04KkWPm2s7F95jnvh56MX1MMjoVUJy0g+CLDId9p
QjgU5b640OsFp2LYOppfn5aNKiijHTkp+L0Mj3qVLsLFXirQzCSo31JOfoe6cP1z7xj5hZTYeIdV
wn8hBK7/oRWVQ1Sq5tAsF/IWl1osFyYZiPfZFKVMXCY3JpvqMUf1yOAgE7kuzeK1lhXjMGEuD+iR
GLCCfgKyjZ/pHZjIEG2h+iPiUR2K8mab65noo5+uMxHf6pq7PuENEH1DEFI4E/xxHPGThaAsMRKe
fcZnhpCOuie4YIHhi4GbYSOrlYU2F3lPOyFRj6OaZj2j969urmWbtptzuPI4ZvUY6uLkSCOCgQv9
RWeMKcp/P9qrtmqZoMn6sTV2Vw/Lw9rIovg+kDp6tk64xMkVcfwAdg0tH1XCX9rJ5C1DJzA3JqbF
N9GZ9NwkI4UnwxhXl0i466JKz6WsCBYnmARPa1U+eCjYpBZuvRDxUWDj4Ei+nZjlbt24rb0oM73/
4WYtKbDCCNTZLcsediBPmy0lOzlIiIkluwxUQFIOBwnSRSeygi3Dt1D2GwGFVyIjf6pt1GX01LjB
C5ldqqajQxaf7b3I5Ey/lYwCcVNpZ2YqnBYO+j/R5hP6mSLc11UanaStSG3AaJwTs8y1ymM3WBKQ
VD5VucE9smpExblvPfKNCf9LCJjCR+bN3GtvDg/+OM6bZIHsEtuHRaVpX8Boxt1kf4K0OpTSuibY
ck8ktQl6kHRQW0RlMNm1Y7SPhUbMbEHVzzW2AGV5LCAg/zc9rTQ4hVZu+YrNJVyWgd1tC05umzry
tHNgOqhElZldQtG6UBxN6bEl9NbJCIUgPrIHhk1VzBbZ+S3prK3XUEyb0ZPco6wNndcxKbCxNCVl
s4bV+E8i1MxVRV4VWpPCI/DP0xqnXSvq/vpV4GVgpYVj2kcz1DE79XmyqQ3Te0hAgvd/rnb4rfDE
o5TVcF0s5boG28v//trr0I9TWdBDq68SGw94/tIU0/LPn/Bbg/R/fML8G/xbE0cRDBWWq5zSilYC
kRYZWYu1oa+Kghze//ajaKtzbctwwbupUf/tozRryghkwdbueD9mgbPF/oHZ7y9lH/95yWAUpC11
kDjTlcZvVRhk1jZeOZGJNib1sQ2qYy6Kv9wVOf+Mfytu4aLxGbbm0NvCI8tu/+tFc1o1uB2SDKye
+bA2+6ZZdbZ0DyEg0rZTVrOJrf6bsku5ox4KsTAaLVarhEIzrRmm//4bO7qtUz4i0bHx319/G9Ii
tJqmFVLgDHY4oQ8lpr2i+8vd+62yZf7Oji09Z+7xMegZ+e07G63b6BPmWDTOMRrj6NzPPpwSSdHU
uelfvpL+W5fKvz7N0XTd0l36gxhMfv1O5kQOQWimEi12xXDUt9Zen7HMLAYBLVV1JE+cp2cIL6ME
++xsB/DefcM0WdzF9nD10vQATYpA3h/o8Q5R4goP8sEzmvcoSj79ZiTKK2OSxUrqP4YuHHzokXtx
p+nItkSmfcUy7S5/fgOk9o/fS+cLadQm2rb321U0w7wYIiEdslQLwuI8iKjsp2r0w0TSzJJYKpAa
8TPWtYOTW3fSwzbF4A9ncOcrIhv194CMqwg+xCEz08LuYI7oo/qLwAPmF+E66q9t91oY/nogljvq
cSSTX2K3n7F3sD2kQ2RGzOVG4dEfjwnwXMUu5ziruqLj7kSUI7qg91qxEGrVQdRQeCaiQcR6NtqJ
8sUft4UOvlk2u54zogWr0nceNDFRMeMeZu45gB/NI9c8RL5VbByVlCvNzb7UID+TmcMY3e7aW+Fn
UFSzYmNZFG9hHWDUYhuwwR7oTo2xxcRud58A70nMSPWQMgKSp+DAoqayPhklrh4ym48TRQNO2G1i
LMEpjQ1pMkdIjHQtDsdqPicmsf2TEk1QNUDKcXjtcKYO8YiLPcy3eVDQyMpeH7qI6dBuRq3+WGnp
F4PtdozFX9qe/mnVcCVrkuPwRHua/O3eq7SiCL2mpQQFWb3uI71jFFXTFuzUPioSwJeBM5oEvjTd
a5SqdM02Ve6Hwgs/9Dhysr+9Y/+wUrr8OhaLh2Vruv1beWceZHrdZb2zjHGYY3Ub4UwpLKqPavCH
q4zwZRap7Z2S3IlPnT6fEhOSeVnp6HF09WFhZg5KRwIB1k0icSwrm0YdhfC6VX58byoNq4jeJoqD
sLKQpFFzCQHfYyQv2Z7/sj794+X996+j/7pkGIWe0n03V0YMczV6mw9ETzIz4elcRW71yBhFnsRw
SRxycQyXNHnTxHiRQ3f+5S3/24X9baNTZqTUYBNCBmoSLvQFfNhiznpHtLYGVMC5s/Yv8eLPn8pc
wBf8bVdyuZUOHVf8h/nn1wsAjet2Lgm7vJ4gsxkRXCTDUtdhlwPLZX5qgRQiRMduJEi8LW9F03wO
vvPkG/FzneRiFQr/vuAMeFdY4NMDOBEtmI+k7M0STA1gwEAAL+yNzM1rSPNCqrnpqmsoJuVVn1KE
q0YPMZDqF32AGtYmUs+1i4enjPdTVVcGN8Sxc37ISUJ8V/VywrBPhgKvviQFoF0QtX2XuYeSsFTC
bReOWRFDtA8p4PYtGGn8NKVsL3H1ZTj3KRhQHG/LFjGOBw6fPtBYjc0kBnaz2sfJfqU/BLgK0lTZ
twJs2gl2JOAcfbdmkYy2ykK/IcUJTzP5lKRBc+TNM6QdfbjwEF14kDF5TILTLOm2iQtQ3ZKL/2Dn
gHpTgLOUwb+37H3STQtt9GlEIoTfaM+R17C+DSfdbDcaoGE6Ra8iUDc9D7Z0KK6LBjYvC7dJ0V6i
vt6pYKYTfP+TH8TvLvFgdunFxBq45shDfbonfwytdWzS8Nj1yZPX4pvQTPOCPGY1jcRIk6gHPGPR
jh6YwZNQyYs9HUS8bb1ELPx8+g5b8Z5YP+WwC7NXD0yWSvTjnOg0tce2U6hw+D6ENBscbGskgRFF
urYWP1hJ9e4ZIPSej6UR9MVvjrW/K8YXDt4W19J4xmt5zuOE4z2tvXdKvOj+KhYvcWadB92BwLJf
S38icJv+KqQP7W3CijRTRRYZjH2JprmarIsF5BWn1raO+81oxlvJttL4zTbKSIMZl5lN8YNYB2b3
UpOYgnxdBSNpNuk1wjvaYGsllNoTZwVaGxJe1aAq8ksb/A0qAbedn34kuXsXgbdN/l50lFaeJudb
T6++DDcmQIw9ZOy/9tbGph7AgAWAxCjTdjQAn4eouuVGt6iYr2z77HiwyRNtNndT8G1Bvbcav7R4
trpxWZPNQcDr7ANFj2SQMUGE7cTqClvhwEylysf7HOyKmsiARmBsfJWaufGbn3F245qRZTKspXzP
keHrYJQAzBeryh87JU8prQjhjK4gdA8IKOjsq4X+nboS+NK7Ar66M/VN4F0yfEkjBuog1Q4x3bTj
7FYh8MKT/tFKcOtzuB6lvQhClIOW/dDMIL049WDRnfMm7J9RF62Ju1kN9qoZvDuSZJay05ahbiym
jiCqgANgmjZfxfSWwWV3wbVWp4a1Bk3NXc1hcYYLB8t6Y4cA0j5bFhRlzuQG1eabAPEIeF07eJrN
2ANheak3ne3EXRgQfoPzkXFWC1N7YabQIhqPzvhzkslrwCE6CiwWD8KOs+RsEHfvhsPKVzxIo7Gi
4WiL2/zia5w+UWetFKIYbGnWpkLgb/vZTVjq7EP+xRQi9B2AvIqWo8IjUYGDMm9iiaNOQujllxk3
WzMm1j3qyTlUdC2kHpqoxl3rZneOQ/srn/rjfBCO1cnqm63VhjhUyudYYgTJ4JMGlOEj7CFV0ryQ
X4SZYy8PUOgTJzwMAU9tab0PZYxn06bshnsbS9J/Ohgrp3vycRQgnx6vKiI/DQDLMp2XnkwvycDi
TtmBNONwmQ+Y/xIbgUNaeX/ZUP9xF/u/7URqv40rVFvURefQDKlrSNFhNlT7txPhP3wElRy6RA5j
OC4H3F93rEkUE6J4GhNrPNqrYsLk2gVd9vTnnfEfTi6ezsylu65h6ITs/fopWe5PTtEzd/ktLLo/
eCSmgK4x4zP9E8q6/e8/zmW0pz/UMCT+718/DnDJNUKXOYSImY3S5Mb2ggLiXt9oOnDsnz/M4of9
tudTu6qDyTls/GDAv34YKYajVhmcyghbRkQLaI0lElHxeP3z5/zTNfy3z/n93BK3fdNZDTCBEHH2
OFRph4kqA7ekInFRdEX3lxmKytg/fS/vt9m00Iepzqs5BAGFCuKskNYY33km3Fbmf3k8/nIJPePX
S5g4mZ3Hgq+WGEh+maGIqAt1nXN8+bcZ9W8f9dtgOA4onMiKsxH3hgh2S175lqCaUlJf9uf79bdP
+u0hxAZE3mfD9cuCx5h8+fGZkp8/f8TfHonfHr0iHTpMgBwmOUYbp1i1Ld0zdMz0bpGdZAzN/OfP
+9f56P9/1ok7+/VG2QJmspeOsyzNpn6I8xyBsWFaLVl6vU5MwUAiPtn/xncitGbcu2lA/I5np/Rc
/vk30bX/XLhcjV5TT2c50U3O87/+KhA0sUnMsEOiDzYue9qXePm10HqyHfcglUO4o7WlRfGzTUOi
QNSLHTx6af8WkAF7Zwl55ni9NIM5oarflm7w09AtGE/kR3nhPAxdS4ajeykjNiOF7Ms01db14LaN
2oHErn40Oct+U5xGEjeCjoxL0yGH0Vw1ZXT0gnKVi1nCkjEStp9RSFBO0G1CzCqEey5EPt1HBAb2
SBoNgcpQomBgxr2GRBvUA/+sByglzM8BY07dXNpCPQ/9re1gnyi3/5FTPDLU1W6yoy2qNp5mHSv+
NEafIR58rgQ5ZiFYWLolqvHFiGIACMzP6QOCkI0+zTIn5yEv2/usPY/yiyjrfeLGO0rqOAoPu66R
SNGAHaRK1o5N8Eyc2tCiJiFW514fnxDLvDYN1OPkbWKlUBWTSdmSpunY8Uprkp80VYaLvudFZq7Y
cKI/Z5Gzpa1gSbo7yWPMLnjAfWiXpv7yyQ5OAch1sOoe+zDh3jHCFR0XkqMBpzX4yBCXUa3a5uuk
egkr54dP3rpBZ6IdztlPKCj8bSnFuynjLf66a1hNmBoJF0HBRljxsZ6rQn84ZvA2T7dacCrEKaVB
w2/p0Eps4oDTlY3NHhvW2k6SJ5KD3HjdUSKW2STYciWIKxrCT83dUPu3xTp3jOBc6YdeiOJ1ipNP
5tod1H4hqgNAi48Gw2+0rZ5HjwIipHT6FaEPLfe6a74UOSGDCYkI9Vc7z1KO24n+1Ia9Q2cm7INb
htbLyEGKyuegpccSy0lCK6kNp8ZQ4jEido7ajRxa0OWjndLLG2VSB0I/N15LfXQGOSZuf37neOj+
Y0v49Z37bb0B3ymSSc5lcwMZhzI/FkXcQFkOm6HnXFrga64baCRDf4pyfY8tCMWnoh7wHkYsVy8k
38nkVpbaOUO2budwkop4ek+EtxYTA1LWVd4MJOdVWxaQldNM3yawSFR+jOlTxykzJFU0lR80xCBp
pOOHHjYZI8PJPm0ieCvce4UXbCLjmmtUrSDTIr++WKB+2oqwXwZYUkyiT3CU7aM63XEmXoipudiF
var43WgKPWgSA4RZfIbaXHAbqpek9D8M4jbD/yHtvHYc164t+kUEuJn5KlFZlXO/EBW6mXPm19/B
PsZ1FasgwfaDYeN0+2wx7bDWnGOmcYsQS4ENUfpXajZ+IBGjCy8jVwu1WueegLLIRouYDXlAjjJw
mLIOeOIiUDF/ElxkwxjytQSbWsO6b5obUPZ7kWQ7GbFKV4iNFt+E0OIBI68okK1GesB9myBFAH9p
c8TxnxrApLogdYKAO4psaYv5rUWfk7ZrnRZLBdPWLbIrSl/LJIuOZZw4QS6t8ky5dT00BWF8bNkt
QC8CqUEQYQZTUwHmopSRT74Fh++sWkrMUgSIbsvI5ANvVtS1UU9AcYC48Nip4tpw3V9e+Z72D6r3
e4p4LAfvponUK70G28Zf4MJeKIOAjIoTUhialwYta9yAGzU8bAe6dKao+8NaoKD21WSSzGXWglnd
SWnrtqWYx+kof8F+MYHoz6w305v9deGzFFVW6X+ZFgva39XoU4/GLywPUasFtzhs8iv4/Fhk9Mkw
6mkyOcVKfCMKlQSesK8QQeb5f97usNg70yQ1VVXH3TTbjAU4Br0wb3DrbfNddCiWyPN3xsJdAOZd
n6tjiR++c8WWUUMCFhUwkmf3UyU9Ha6aUFasT80KL8LVuA1Hx15iFGTFWqIPWyN5Pjfu9x2n9WXY
2d5MFlOKQEIkPdHjI3pyCkUJKkPSayYffvLGg4/ObHLF94odTSoTTxv8OV0jvunrNsJQ8iEgOlis
yBRbkZoD3WYRrUZHI3ps4e01J33snOyj/pUTUXimHP3Dawtm2Ob+ct2GbUyP4dNLNViRWmhWPGIx
uR+AW/EFnZ6xf3iOnwcwZ8/RaKsuGHTOj0H8FCBF8S7c4OX0EH8PiP/+MmghCoj/8lRSNzVVJYjn
60Vogsp1NLJ313r3OTUBTlVh9TE0zc6z+5Udl2tT5R0CUVvVyTqpfDJQQEniuycZ9IJNGlRp5IcU
4es+vyOL8LEHH3L6R872rX9/pGbR+BSmRsOQHtrXH6k2zA6DxxkNxUjFFkpTe3KeB2Uvm3LxYaie
vdF7vKF6aelAWzgJV3EePZz+FV9f728/Yn7UHnzK+UJlU0I1L9swwOQjsT6gqnfg7Vwc1opzesSv
L9g/I9oyU4YB5pL/TC//pxesHxRFKBluh1QmMYetUC3OnAi+fj7/GkGYBp1PzqayNTu5JZJLBT8j
+DwOgA4Wlt7+oi1PDYt098WIuGSfj2Q7taPePZ++th+fqf1p6Nls0SONUiUxInVogE+6CV55VWm3
Ukcp2ZNXiDMcQmkLqP+q/3Fm7OnDmb30nPd1gw0/9/d7HykKMlrpPEpJFsFvTR/EPtHTkKqm1r7D
j7NQgybFoekoLZedEh9MhQZ1gY/+flQ94+L0z/k7Sc1/joJ0g8epEfSuzCaSxJOkzrAiUjNHlNtG
sJJyjE/gET2sEqax1xV3SxjKDvHeVVwCDqWbiCTveqjeAr9Aildf9UW1bmgcihw0ImcF1XSdEiJL
7YoNAfX47C/BUK2jdO/67tpIAIwEy77ywIEjh3WNo5X3+H1DZ/THp6rV1naAsluXDrZUrSQxANn5
CIObTKKnFiicEYedTcKhrNqXA2y9hMrwCBIM4/8qUAHQtdIiBPXvq3+Iwl26tX2oCUzjvLv0dbGm
pxhmIF0KQFpqFFDirxHKr8sAfntIUHpxNEqkyUGyj8rmaMLbNXoNnop4ChTgjjpkRSpqdWP+R4WM
v58DzJH/fxDzhdPyssawKiJoYXTR3K7zo1mTyhDJlAFOP/OvU/vfkUyZyt1U4mLR/Nu9//RpxyYq
KrUO8TM0Ce7enPLqjq0LdpUytXr/zETytdDwz2gqQgthyXBpzPlEMiRGaLlRYTqNp8dYLrHgMbmD
NyT6zS3qM5PK92tTdUs3kHVoOvIbc/Y6t1nporipmK37qD2qEHPXuUy2QEcI/Zl93ffli8vSObLo
qqYaxCHOxlJqEz55WMgrvD+EQ/Xv4lmsUWJvIJYsYweqx3NDqFGyIV9Q2ivw0xfy7elHOWubcnc1
WSg6SgUWKOaSeVVFK90GioM9rrDmwAijU+nIO6KIl9Zh2GZnbu4Po/EUeWtkS4fNZyizupQSGeDh
czbL1UrbK4/moT4076AuVnjlL5KnM9f27VmyKugKWiOqsLIp5GlR/PSeNnXRd1HMs4Tn0F6Rlq3A
3u39q0IlglkuxmLThnSHOyEQN2asvszqpETqdU/dzBbIWevAuIomuTtQjHM1ur8L/5eZc/bzpvXt
088bOm8sEpUtmL5onehW2weH0t68qcdxq7z0w5ICTufA/thjyouABpzZAX77rjQq77Zsc6bQpvLx
bPNkpvCRLG96+0hklHNQnMBI/tJcSVQ58ySmS5ldKoMZjIOEyOR/fr3UmAQ/MOG6QkepU4geRT3K
zYnWXV64ZAuXSPhcnKrwb0Jl43pNCKJVQla40qske5ZRanoXpYn9vEnGW15nekIlwmxiFk7/0O+/
k4OWyTehWLqMnmp21LGCALJbw9o6DhaQSwXSrYCFu28lu9gYta1h1swpxajQTM69rd82TBpjc+rB
h89sh9Xv6z3qY8tq24gTSG7FbCXM4M0mimSpJqRwdpkLfDsHMQlh4DLROlptOk2pwpOAEeIXAH0L
zC2OiRo/fUe+T1LTz7JpZCimwvQgz25Jr6t6YLYhO0ePIk9TVdqaPuVIHnqpAtoFoAuKvF+qWa3e
NoqiUvtUgzW1rd++L5PrPcbG2tQlDHhBlNBK9ZT9OCrNJupigsGoVXV3VVKPZ7Yl3z991UYKJ9uG
ojLfzKv67ph4o4V+mQa35d/EqLh3qTzRbyBDnTvGTfvMry+3yvaWByZYEBl0dofKUYuRNULgnr5j
QU6n7IiDvaIHuyJJGvRJsDbPrInf3xWNZXtaOVitoHLOtr5GWbaJ3yDEH2vqSZJqxrBh+3B1+tn/
MF0zjDYJ1RCganwQX19JQy9qLwxQslQrkNjL+K7djhtccBvk7nfi+vRoP10TVMFpkkDNqCqzwXK/
7Bs07bDCpMS8Je7D2NfJ2TPj12IK652O9E7wQsgcGoQqZitQLWltZ9m8GFEzdNe08lXsh1i3Pdve
aW0pvUVp0b41FZKSuhzlx9PX+G1+mUZXhWAt4q0U+mzFT9p2LDj1mU5mRNKWn2FdV15c7eUsDY9B
OUIV9US2zXJJPVPFmWaPLy/pbOTZdQ/dFFTp97QsjM74PZaiPmZaVlDDHpBgExUKTiu2/DOHX+3n
YZnQqHOw1MwblOpoWZ0Z2/gaS1ym+KDqCtcIBS0D41NTprsgbq2jl1twzUbgeyOij2OuxdY1gtTa
wV2m/8okPXlqEaQdjCIQr7nZt1jywtIpVXDHslUlqzAfk5dMVOyiQH7gAKdzrbQwLJSOWpk8RYJy
QlELUrOIeezFZHf1t+lQVvt6oA+sN5AjMXkr97EMQqDhfJFoEQkyBmxPy0B81wEHupYVmwBQSXfD
LXns2GDioN+amKvXk/rsNyocuE2AM+CPnX5vpqcze3oU3qhzIPBFBz7vh0pkh3lWSaHD07FYSSQZ
JwMJD1FJ2VeWKBudHu6Hp/ZlOOXrd98pUdD0kLC4w6bYKV3VOrJOKEURlNm+EXSccF+eK4d9v0Zd
Q1DNRtjWmEXV2RtqumVFg4H1j63YrWLlt1qQwZW0MAoWeq+fucTv84CuTZJmdOJsf9RvO9HRJtqx
xXCL+n+vE0IpbDzBIfHB9ha0phOAWFCG4cyos2u0+fA1hQ0G66iNhHw+oTYRUmatyaFCyDom74BO
2aKuYrBQkoqEK2/VcH36UYrZ6vRtyNmzRMNBdl0X2o7w3fEtmbp8vm++EYlS3YVaZC1IKkyXSlVr
m7AH+x0JlKhqWpDkXZHOC/CteDz9k2aT4D+/iGdtUsHQbX0+0QtgAoSLkdwiSRMTwlYeos664gD5
7gnvve+My0mie3rM2X7gX2PSQeLc8Xex/vpGu3FuGmUwuE4HfZgIcuRoEKFi88wwYvblzMeZVyQV
gGAtsh2XA461jxKH8xwnOSxN9qW5NElFImxvUS9R1DjumbHPDT1bP4uuLH19SC04+7mHq5gD+joM
w/KpIOjsQsn88jav6nM7kfke4Z8rNvUJX8SSaiqz8mabj8iebIuet9DpuRUh/s2wHICjqUFAvysC
oSAV2IMJRtH2gyGTc1j7nv8MxdkD+VFn4r+4ESr1dEVVqEeJ+d6vGVI5lt1AIixAhzAovccyzS3P
O0ZBcRgN7dfpV2u2b/l7Az4PN/35p2OcEKmZazLD5Tj7Hy0VzD0BHdmZDe2P37HKGd3WkYNgwJjd
Z98eusLUA9tBb7eKbtmNOdlv/ZLkxoP11Bz+s34I8iVmKk4j06qNWp3ez9er0vpCG9oAxydti+4i
hR37oHdxd1CRDy9ZxPtbODPa7elbaVo/fafqtNu0bEFRV5vNVtJghbR5fdL8Qn3XuKDIW/Vo9E4k
PfKi4cFehOqN0pAeBUxeA6CO6FBSc1LtSEmkNRTDGQWvCoq8EFtmvl1FHXZU8boViwwZrvIoKzs3
x6w9LO1y5wfVVgHanpYYaN9kQQlxeLNJXAWTJNJkQ+gNeSEwP3E2Du6i9Gzw7JjtlC3aTTXZeVgl
1WMPVIcESz29zECog5eo+O+23bV06VNw5nUqrz3+TeQIA7h8k+pLrYqduuVgVKqLEjWvXl3hClmr
wZsLtu8v1ony1uRFp/GxChp5Hw+7ukeXAMM1JZxFl9cT9zmf/H7YRicWbcFkmunNsvO1NdcFZK+/
Nn04tW+lC6+zT522xHDRXA/YJkg7gdh6Yw1HtSXXeMR5y1+KJ6I6dJoQaUuWHwQ+5b5Z572/N5HE
dkSddRW4iwkv6r50IO9ooFsq3ECCYtwdhVZi5lT9FlvkUhvv0FuX+CwS7yXv7VVR3BXmVUXCQND9
MQDDZnBuVPeXleRIldGa+9pDqJm3GUCkzlC3jWrt+/QCmJevjpcAx9mRvYUKaUuU+NPMPshhiCh4
6YW8Fw0VgvhCQVvd30i9uc2bRws+oKfTp5a3EPeTxlqZAjCKuQPRV1ZkxOQ6cUlogn1gGSNQYscz
DpJOCBP6Al91rNEZkGqp4sO3Jxi3d53C3M2aBz/1FrmhLfRiIGwL7AT80FwJbvziV1TCFzIvM+kg
om3j/9KAQpiZCuTpV1Xj+MUQVunmrZ/e5gNtAz/FrODu8uoqz8sHnsgkUY1XqXXT2fXBstcld9xi
Ea6Naxf0DKl4aD/s32y9EEMAtvFXpKiC7ibHTeZisViOQLf62ylCM38SkClGDZZyDbeKhb7OljLN
Eo+YqdtQAfw2XNnYiKpeWlnGQ020proiDy6EfZMX+9yAXtb1xcqDnNxkPXlrUqSjAICP3/OMDf/Q
EOtYV97OCNhgd2Cd1GIFBuwPokoCGG9jY6MBEuxLYE+ChVCCXRS/KOZOU8hhJ/Byi/x+SXEV2Bkd
0J7vJbxi5837tkjUO1KXZO+PFa11v16qLcHg1a09vow4zgQ9PtD1luzI8i4lgkXVP1TtgwzYHd0i
YJ07aM4LLPuLAGiT8DKSj91nu6ocjdpEiOiAxFev0S+yGtZIyRyAEt44VDFKC6TfXblDMBSQzStX
iIQLEjUs4ne8jc3aJrvMKU9t7aMi5osRV3n6Ueuovb1tOaw8dyMDlPLDnshBGDzX9DZgnESLdNJd
2wk8Bgg1+X1f3CVxu+yVlyYh9xMHwSDcqxL8bgoCXedt1eH3QHL0EPfq0esoX2vk7bgqSODmGZU9
8XJV9yoPIOmuRAtaE+cEkYpwuLMcXk11b1J4KNLnjP2OQG0vkf1CtKUBWcy96qrbKYJY9D1hLz5R
NciB2nXXAJENDFRS8kbJ30orIrRLOBU8JBsjC7vlBz95iaJrxSZnJzLJX6u3Pm16vUTEDEMagB9B
e3JCTod67Bpq5pSvlBczfQeQQl4iUHqEH45HsHMBxn4SimMFLrs1GQeeEk3hzLgPXrW8AtR3oMoP
FClYtjLMKv9BJYpOEks/Ac+68erLAX5EZoKxk18H8SbgYtjNRRQc03Qv+psxxbCm8OKKfSzF2zIp
XgwND/ao7fy+f3aLYR0J8yHoy8tY3PdAWGHArcgWgPtCttuAgV8DpAOfQvHAQCslgJo/lcJNaguK
Vus8utQnt6DgxcUt48oWjRbU6swi8qWKW7cq733gncAoqc2k3UExAM6M28JY+9LL4JkLM4uWQxuv
wuZjCJHLcRjYQ1QkI6T3DgUJ9DWJVdbGTzeEPy80zSAVa5dIO827lMaHHEhOoN0SzOVip6iK8Rr9
3M5vIMgM8jrNjgj0SoArg+FfxAp8lID08NzbGN5L2MfbMF5UzYKATziJeM6Jdl7rircvcmVFzvwI
IsrQHnJiqf10Z+ELqQIw8t3FSB6LF2/NjnQcsTTyy2ZMOEpD/YWZX7SkPiFlUywAcOF7QiRGYPew
PTCBQ1CNww/ZP2RegonTZLIC4ucFjuiQRiGzqsMrF/e5BF9Q8d7btkYk9RxOkRG49wz3XpuIL/G7
5StbDXpQTJpkKMAEjqRKAmKKNCjupsY3e+tV2x6nema8u0lOTfsGDfsSZvq6p/k+avYmHRQ+W41l
aOlx5hsyVjWYcyJkdSXoXDbXBSmz2d5rbissp7JWYTL6XRQPPtHZhf9b8eytNZYgKl5E8gSeVJL/
dPl1Z1zX0TPsqK5pSHoCjtjexQCIvAkxB/Ebf6IEEbZ1L31/J2qdnvieJc71P5BbtdWdWd2joYX7
chHwvDQZLbyNk1d9J41+kQjF4f2gy0s1blHmALKjpxZtg++SR8UbQEXwYaBQnBZPbfugcr9H1Yah
ju0OS7L3R7NwZP4BQp7Erz7qshEPaSNY6MIHD3NsjR+LVcSEPBBhBx2aDrjZjY+txK1us0y972NU
pAk5e3a5SUiToSbD4vsqgnIxkNMbu9eidRdYQJw4v6x4IiCPIdKRWzjtNY5+RoZIgGszoPsJ0qNV
gx3xoFvYrAtJjnflFCuSTwnyqx7GKR5pRLeruifINyExQiuQuSGYyJJFJB8q9j9+stJ6sfdD4JfG
vU0MwQQaVwcASAovsZ70zig9JXJzOUjlkiBaXohuleV7gzjvSIMiQNHETh+pFgFdB4433DaNzGnl
2OjvdkiSonllA1oX0Rv0x6oiPSE7jMO9YUJhqC/lGIFmVh8gKBAIYYG3gaAvgl0RSW9uGzBXd69d
1n4o3TG1gMNoHyX4mJFYGiwclnddiouABaEfdgBPMAylGFlKsk5N663DMpsg5Bs/Tu+tf9pZIzOa
Kh406lFzfd3QB5ES92pKGEsTE4BTHSr9sRjOjPFTeePzGLOjUKwRxCuPBjHknBXwh4bhstZUmrZB
BbxxOJy+ounf9qko9veI8nm0WTHVwN7kl1puI6d/1isIZmzGTo/wU6WCmRWLhY4iTczPXL3ZVW6Z
k2WVYt3gAwx/4YPtnkjRzJ1AtdxVbDa6U1PO/G8ujZ4lkzaKIQrWXx+WFEmjV6FLcFIWw4NRyphq
3ZT5+PT1/aNO/HYPaXhZCkVFZCWztyKrpL4pGpm3QiJ8hndRBrzaIOPXpGY3ZME2ddGkpTc9+xxo
SUN954Gq0Uw+bgvse/FO83DjApaSUuoa9UWEG1/FSCykNxzNZFfsrPJKhoEZkXKa+/aqyaYyF3ZP
46OL2SBdhm60tBDDCiy5Kj0sm5Q2/BevFBMe1QEbI/QwxPbwR/7oyJWHY6lddOFvyfNXVgV83+3Y
LEAblG4L/TDqbGnyrl4mRCr1PnQWNMLpUK3S9FAoBjbctTW82u2TCiigJG5PItM4UK9VMvqIyzPh
y2ToV0vYv2l06yotfJQGzRT/GI7bsibHUoGFWoX8TqQuKdNNaq0sdmxE+ED4E8CyveFIZ7N2j7kk
HUwA/kkVHbWxdbIR3EpL0zn4HdX3GqySYvL6o35fU6+JoxtZuuj9p6BojqNuY5VHB67wBy62yvwq
9nd1Ux7ogkKa15amam9MmyqAeO+lZ1KIca2oQGGle85Djla/myFs1LJdxQRyN1DQpojkQGk3fkzQ
FRNOi1sTDCQG1I+xUm6zJLgebKheJUG+3dZtjGWterhy/UMCmhPCkaO2KdUAZZlWD6b4VdQfOSfY
1uB9Ue5SDnNZJJOT/FCBwRkzHVXzM2JODGugU4jr04lSs5QbwwpWSXWHrmLpV5eZ/cAxJy6uw+mY
NZJ1cGER+uTvG6WAzVc6CnD31u0uquGyMv9IKJRVmQivbSA/N3IBSuTXkP5JlAFKJ1svJO2SJVY2
pgQVZHrC2d8FQW9lj3YB6S71yIZ8VVVt05I0Soy70+qQ7PAqGpG7KsCmwsWzwQvytV/S6mMZjm6G
isQQmFCEl4WbFv5PdkMCw9IqfukNaaOj5AA3uJhSFMtf5USlsjZ9u5KMtd7dycU+YCMQkJH9UnaX
g/lONaCjiayM1660lTWBu9a/EGW+rlDS4+9z6MLC/mS1bDZl/GCOBE+19cIMCoDKbJDoV13A5dk3
o32pDX9SSgJdnl412vNQ3kkjW5leXwk5vDC0dl+ZL7pHAGG6bdlqRS6Ga7jkhLtwOGxwdddgeI1c
LL0JNoCRGR1USyAAbHCFHUZlxhdNoGw40a0pW08YrTPTzw9L0iR9obJrmMjHzFmNqejUAcM+JS0C
WiQ2eDWtbf1c3WyqGM1mOJ2KO9I0RDb0T2Z1s7Qzzdb1BFwAQxJOEWs2p8XiJS7jWyTdbJGiuwpj
LOT9Q9M03lLLAcX2rXF5eqr9oToL+UbnQEDHVqEK/XVGD7y2NVkGXaeecqUEFYhrWS6MxxbnKqnr
tkZsMt2BYXV6WO2nirSu/S17C0VBfD9bJcNe8TWNLBOyRbIlDYdlye6puCkG9noiIxEMAmDH/Nk/
x40NI/CaoJVFrxGsmZLwXErrULuWce0nnMLTCp5oHYU3ciZutFytVsTgHKwSlWVj4Z5rM3ep1uj+
lY+G6MAgAaSlXaJzZnd9rwRvISw7Fw9Jb+7hBThdf6M31SKsZKI27gwLtGvEpiTFMZ1TzuNEK6f4
gbWFBhJEhuUKKlet+f8HzIdeKd8o7M3Dgb8c5/mmBmGmT04L1ae88NAW3TqihuApKwMAIGsn2PGF
XFKDf+v835xqV5H6pPXXXXnvSS8eBJKYhcDaNN5dRoRWygaweonUC5SzTkbMODh514KgiGvHBMPM
nnInTZPLxPy3+11f/ZES6oI+0bPFeDT14p5tHPrG8r1MwoskhbYaZ9daVxIMBVlaNasXGCU7iVRG
nSSgTD/0lX+M6NUsMkk+ZGxxa/Muyv01MJBbOUoWLWb4qldWrSdWQa8QoUTsaw3DLspeIqo0pt3s
3awGjtc4YuT03FO+zazNWNX4mvS9UlsPZSNe0jbe1eAdTbVatqz3Qwu9y7jNjWod+yHe6iczt5ZB
hLkj+zUMU37Jk6F8uJbLdLGzGx0MJayubiNlr3r1GBfVoekJF9VdEp26zVCSpRPhrqJwMFTBdSlT
XWlRlpHMVwTKompvk7rfdRqxY/W6FVBYx32pcyjYSsRV+ilLeDYc0Houhfc8cDzJ434TC50zCV0p
osgC+IZxdK83EkBKKNikJlhteUCJSpGqo9jTbABY91RHKIDCs7T4C51GnUkJncC8kl19UZsTK4Yi
G4yg2ljYwS4zfncY86mgxfWTObwJHq5cPoRxsRi6PUSalS1Iad34sI8tAWA0ec/bHYw4AAbk2O84
u7ChtkGOZAQ5m+OrWRjXkgAoDfty0K/43ZJ+SMgzp1ZBkq+kPQ3R0R7eK+xtwyaX+cZIMHc57ARQ
k228B3cqtRzVvyERehmH1JhIk+wSmPpEnWYkgppE+sXWetpPVf6fweXz6Hji96acHCOQ+8suoGK4
SIu9ATRYVOmmEveq9juQLkfrdqSiYk9habKyhN8NgFeqDgTY+d6uhpEZlY4evDQh+E9vUSlHnEds
02QK/2B7tfTJyP/k2p9BF1dBp1IQNq5qrdt40qpHKjfEu1GCIsumLpffO3bm9P/fILUy17sremTP
ATWIkQ1n6RKs6pP+Bxm4cDK7Iii4vh/jcGOG1AL967ZQKXgdI/dQyve52HCKvovro2+ikSMuoVwa
xisUp2VCSI3SvSvmPjE3xXAoICTYN9jCiuymNOKlRywK//aRED7yGgamEY2Q2abUl0ZYkIhB3Fhs
UWsgVfvZ7DdNPK4HjRDq8XbMPMeyONC4L4NWOnWFHg/gum+QylK7mPAILiXGruKQ6b5UIDT0IlhA
70irO+n3wIkxUh2REMEVvI2EefXgpqGF8dVNL0sdPMPw9dEnsnUqbob8MmQbTT6XVkPc6Xdj+URm
5dYNxxvJHo+hSVK5U9Yc38FbdtzR6QC+SbRd5J9pHf9w+vmyckynvU+NLSkaDb1OaAUA5hjWsSCP
KqjdaKWp4bBh3ZhEznLm6Crm29Or1swE9Lf7RHt+8lMhdNc5tX4dOtBUe4AQbDu1I3kr8KbKMtqS
2Lp9pzsQ2JvggxCxzTkF0k/7EY7GJvZ9XVi4Y76OSo041Es1sh2ruQ3zJ3a3anCm931mCHUmuhxK
SSubQnERAKXi0HpFA+QQkIpWRvLu9E388fH9+2rU2RmyLqq6wI+C4geFClCu8gBD8tr16995mN/g
m74w/f4/Mv3867l9GnPajH16ZYZIygari21nEE2x1DKTGznZCeWwbv7Hy5ttqEg8rXs/4GGxwSH3
LgPh6a/l/EHKL/36l1y0N//b7ZzVNhR0U4NdMZ5NdLuQ6hZOvHwxqvFrzZKEMAc6WRiOr6dH/atH
m29fNQshI3oJvDTq7DJjrVI6RccQgQQPOvkyho68bC6wi2sL644sNshmEJOW9u6cWHt627+NTFFA
xZs2ST9n74/p6WKswRU4wnwlQvLglcWmB/ZvheRR6tCHR+2oCChRZ654uqJT487eoVRVujomH8np
iZZku5XBlQ8e1bHakXG8totHgxAI081/NXn1Slx6y7E0bqllnv4dP23YNVvDnIdCRcbF9PVVtrGM
qqCD6JgqZeykwcC+oOucorW2MvFpucT6dXrEH+pZuob0V1YYF03nbNKTgeQKI0ttJ6GT4GLeSdUz
I/w4+3waYZoyPn2ePfDsdCAr0OlRkKFUXPnUhUc/d05fyA9lwC8XMrt1ZS/kSOLg7YQ47ci7WwqT
LDO6ZYCUz6xRP8lPPo+lzSZU3QsVWzLRKZjulN0rY9hJcpIE3c6PV5JWpCutK8JDayKoR3dMAmjV
k0Ws2uQuqlp9Tu/4w7vLcoWGW4PKgq7s6w0eRk4roubXlM0dm/2WgvXpW/vjfPB5hNk05PWeiBMM
MQ7xvyYoBa1dlzAiiGnoxrcyDqQVWhzALE3H1qWEByGsG0p1yUeSh2JVoq+n6mTXG00id77xTXd1
+gd+f8Ww7SpCx72Lmh0M3dc74LZJMEhphPimLK4IOrkNaEaXZxms37/OL8P8Neh9epP9IiZR3Qwl
RwkidrwNoGcPQcebK71xNl3+T9ckZjOhRYK1bdVcUwA7qPJ+xxhNC7D9p0f5/tVMl4SamzdHaMh8
vt45JPIosMdEciS13FZVThMJcxosoYOWyh+nx/rxKWnYrCexJYKi6c8/3T5yrOGmxTmapQaHbo2R
d9uktN1DtcrPfKHfZzUu69NQ02V/Giro2swc4kxybJIOe0/nOFT/N3fu0xCzibMgvkxxLYZIEvdD
ZNJRNrxD7Sb7MB7OyKjPXc1sBpWDLlNGK5Uco8jX3FuST88UrH58DagPyYgVwXLqsxEIsyN9M+HN
9mu6b+aUFJSQXemiMDp338SPV2PgTEaJyQo3L0ppiacOeR1Tk1yidk0xoTlwTraYK6mnHsjAvvCc
c8Kyc2NOf/7pfRi7oShjMqucTkd3Mq51yXZOv9w/rAm8cp8ua/Z2WzpYJZLjp8sSa+W1uog27dJY
iEfjyV01Z14+DEz84q8blq/Dzd5wkDP/mh5Ez0QsWprKEgX9Tul3EXV4kgvCJrnEG+ovs7r+XQ3l
geXn2MbGykCZ4WJz0jxqxg1iE7NE39Vql7EOvlZJkQc3oVw5bUfJP/U0BCuxo3v63ko83K7YnEno
Tt4FaX2j3hC8/m4Y0DpdfZNkIObsqH03RrEM6mADMWJj+EAAk3LdyRkZ3bBcqAULqAqSeh/K9AKU
y5LORgcYvWoopxM6HHg1AK613Sk0Z4hhNIq1Yd1HerGsaMO3gi4uCgdY/mH5TJTdilSNVRRTPUhI
UfZJ5KV+X7XAKW1jkyoXbQlzLXqSp4YuvmC/CtZ98jyxjrW+WkYFtFJXW4z6KlTjhZnTdgnfNThc
tFAcIcKDlJB7WA6O2l8Htk+vYFiLSSBgF0THU9kl9G9BiIhDuCrpVyGlJndjadI6sKRV4/5WkUn1
CXWWjvEtIr16g/4/oW8u0YZ8cj1Fobz8pfn92iSbDA34ThoPOn0QRc+ctr7CbChWcgX73YXja2Jj
411eK+Q0JlMusY5fyw7xKJdRsQ3diaqgrjwyxfsg+ZDJIlTMo0wPQx7LxyyUCbqj8wZ6YxFR5FJJ
wvLojoA3vCyHmmJGndykRX+liIFHFOG0ShMSXSyzvR9p1gSvKdweHfmMrSXHitNPBlkFQz+XaV4n
snVXx/Vr3NDmSQOnbMMVMTN+Qy4bz1gB01QnzaVcX9ZdvbMN1J2S02IpC9JnQhgclMwrSk1rwa1i
nV+Hg3BiIJakhwK2LBeBuI1LyDaT9oLHBLlan5JX5HMt2B90r9PXRReUOdHUSbL4Ol/40tDIscvD
sUKJrpwy1ERbEMXsRyoGc/CB5LhV2rMpFcGfuPfDeyTPIB6VKq+25AmBwlFroNFnppjvhxR+FcaP
SfVM82J+OFLxKAZ02CQn42ywM9f6k9Ut3ity1FYG4qAFGOszm5Cfb8SnIWc3giKMotcW+wOwZtWq
d4ylTNt1SV5ZuR5XiSM51Zku9NkhZ9vZTNfVXvIYsnbQ8i0Jl91au/doZ6zLJZrQ3emb+uPKYKuY
rk2dAs/8/KMNuheRJyI5XmB1JI7V0gUHlu6MXPvvbu3bdP1pmNkCaxreWFole5/WIMBq3RQpre9S
SpoI8qzwb2m2ZzfmoLpHg+iPpRxR7pST2HuzzUDZnr7kn/ZhHK11PAmywos0u8EDjNSsaXm5RaqT
bdWQG7hM6wpRYl3KT6fH+mmZontoTAJyhdrabH8Z1mR+1CHXPfjjh+71ZCJPol5FPyoacQxWXp4p
Bv20k1EIDcDvxnjm/AQNlG+IaiC3Dn77Y258uGbrYDFZAEA5swb/OBLKeiBJnK84Hn2dI0Yv7zVl
4D0t5F8uSuHWpwLVkAda9s//xU38NNJsrVcT4jGD6R1NhmIrgvaxlIddJepDCPTZNMYzL+u5C5vt
bP+PtPNYbhzZ0vALDSLgzZYAQU+JovwGIVWp4L3H08+HXswtUQpxembRq+qqJIDMk8f8JkUcteol
wkyXeaodJemT3mv33YxgxdQg/3++xouTUcyMpeCfVH06q8IHVqaI8btWczWUfXfSqXT+53tdFImW
J/Yj3Pc5rohA9LDe3PrbCIVvKLP5LToSoaPl/5Y0C14IRsh/Vr2sGdU4iFAR49vJHV4+qvLWpeKV
7/Xdg/FYmLVYCBJBNv28EUsLqwbgytRwk7QQw7dRffh5/30XMP5e4GL/TZpc1GrKAmLvhPh5lea2
hjHw8yLf7bq/F7nYda0Rm7InzsQFs4ZDecSsYllKAwDhf6cAPPeLZcQg/vO+LnacV2u1lY+sFLc5
Jj5oFcLe+PlhvvskEAollWIKJQj1IuwV5SSV8lwM+Che2fhO3ZmZdP/zGpCKvnlnjCtQBNVkgvkX
NQU4bWMKr9VzxNnXLpzcKXhIKnkZkX1SWAsx47l2k0zZfau3qa0bYPhV7UUGkF317Tbs98N0l0c0
dSn7Ql258bzOsYqPZHqFUoVhqeJoYkbDTgBIKQMJ495nam9Gi1E9S4zlkxhN6xjOK/yTrsgWo38j
YG0mHPraYqSFFCpWhUb+RNrCLK7Y5ZgcmTjOxSk+7Dr4KkbcqvwcwI2Lp4iM8E9Mx2704SYa0U0Q
3nspOTaDcSuh2+3d9aF5O4mTjSxa6OM5VoGCBiKVzyJ+sVMy1PRiLFq0fo8Dapk3Swm/U0PatYhm
mslDWy6VnBx3Ygw30Jx6TkkdpeJOUe8z5L91LQCatOkkJui4JoYMtGHUwVaYNFutz8jONuULaMaF
Ytwl8mQ3+lsfN0iWPiXyW9mjr1liqaxAQIBcozzoNWpMOu9YurP6X5G6MTWnzXGstNyuBPFfPyf+
KUwxt003KoKXkd5g7HXvMQwOy/um+B3iClNgEKXGSPY/DxJwZ/X3WLzKg4jVQueggJCjR0SJZ2Ci
kuS/8hqgcI9xLAyhbpcY+7IJ7MbIl2q+FqOtAQLAnwXxM3UZZLN1LF7bK7F5bxACrVpCod+uRQhF
veeo2onenpS/Kc2roB5L3ViGvYBP94eHH5QB2ACcuAFcvVIo2ZU74K2rVk93IZqp8GzxxjxNfX+c
RMwpsbid2BwDEOMAf+9GNNf9/ORMbJnnmbQaAAw1/HvaxFiWL+YZz5SlcjDapohflvdeNh4eqOCE
vfZtkv4MZXwAw8RGYcBvohJumge5UcF94JYA9U8K4p0y4dMmUeCWuAujyy7gcYcG5r00pOteq9FE
2ucdooKgeOG/ih1wZpw3ffmxRjPeALwgN4d2Huu/ebGDJaaaUa7lG3l6yMV6oeoRkPntOPtFBm5s
8ecUj/y0IADwZKHlQdeuJJgJqyl9Nzp4MfGiqwHVYb6rx7bS/1GGva/9Codtlp8kj1Jwg6CVrQXT
EjkSJVhrKja6eMTmFboBBjhBvV/46V6kugROoKabvg5tFZDB0ERLS/iVNc8SxxgIDORz1sLQpvsj
DooDtWQxMy6YgyfgUvR3C6lL5VYAX2OOyJpCKTAh04zCb0FatTL203dxjbkBHRntNEruNK314jGW
bohzC0UH17UT5uhS3g/ikwE6rfOP2ghGJ5luPP+3RxNB0eplTyUuePWtwr4VFBCIHiwuGEG4LGyw
xOMU/i68ahH34saf7nz1bRQwogifE4+3MLDVlBjij3I7KkgBSwjjvo7+fS3VT4Xe3BqA3At52vrR
q1QUmyLYAu0J+6XRAegOxT+BhGClWTEoKtR4J3vxgbZ4Bq5++mC/JuBXBGhaOZahqXyQcYqfVOXO
NJ5bSuDeO8fePm7udGAMGNlK+Z4eFf1Rq70f85UfH6Qps+N6r+e9nQnID/u3LSQaKUTRpyGm2JS9
PQAdby2r71g8Nom4qvIehOl+iFdGu67wGjGA1CAsyQZq1Hex+WUVJ8OiEgaX5ePRjGlExF+Ju7cp
4j1W3SJBankKiXOQD3bFcFZBdOTCeZBzJE9/JeFdKOH87h8MGCnSRgpuG5jsSXeDGAn+3ctQk+lQ
6KiaQ0IMnbr6XdG97nwkyA9m/GuMt5Z0zJOjhJsqJ62zVmWdUtHORLDYRlXPEcyD1W2TAADkKU9l
nLCOLaIDnTouJO8gh2ur/xiGbWVslPhNzd/i8WCUh47xR0HLUn0iOzF1G2FPO4bMF4zqSoE52GjP
cIja7K5J1AHYorbUakIUkJ0mknGCfO8aXkn0EOCAqMc6AoZrRXju8XgI6NpIPFGcY2GqFnD7lg2z
nwIHLtwmt2A0ScmX6lhiTfqKYilUOOylaS7iquiNo8Fddopm9E7HzROiiJTsLLouJfX9YuhUR8JG
RYEBmfKC8eocSyfqWiD/t6r5a85KQswCZViC9C17WjpZDlAJ6EeH/eiLH76Ewh+BmVqUPo3WTVbe
aoTO6iFkr8ynFIsVqYbVsDQA24rbuP/VWZvaOioTQDCsUI0cv6ORAmlmUe6j8A9Y/lLa5CUmWiWn
FOlluh/jMUX9NRzprYwAaVZjFGANvfEib9nJvJlWe8PgchGHHwpmz1hiY2ojZ+h6K8jT4W09+Gtl
/ABzuwtbhW5X1D9K7DoJP5AURix3domPoc4YuFpLAd6I+D3DK5iKtR73eMg0exkM7kyKrH3ISLPe
pRzvPcGpUjiV0PyC323ykOJ4Evz2Co/PexsOIKm1Rybbu6xMHmOMuq2RM9Rh8K0/+eM5Kh+y6hw0
pzh+HdGNlP0J159gEWueC7xuQvkOnoZd4JZTQZ2RxNd0nFaQIrhz5SUaHMtG5t/K34rUBM4qLgsC
mFVhIwxvqkCJwKs7CBtthMVi+AwkEcAzrup9iN43NBeMgjWKnA557jDo91JS75J6I3brLNwr1snr
fwvltMGQztbggYg42JLjLWq4enVS38RBxuPeDR16xDDKxOFXYh7l8K0J2GPt/aTxHNFbJ77VQeGW
LfblHaFFD+48wjoMJJQQQINiOm++MktEbZFPDbLxTtLsVnBj+TYqQAQ5ORCfYxU4uKKatcu5F6wV
3reVtpNwXYG9aDh0Z6v+LS7uFdMWChjDThEvDVCRkb8pRiBgAdF1iVxxr9vJe1A+1sbvUbBDjFc1
O5Z3nG5fOJYeccbxJXeIGsCs+7C5yWCsAuwqpjWOw1yUtpbAlHwW9b0M0s97w/8li5EBdIHzBWg1
m/VTi6oOHjzGHQrJoO/BYS8ijHX6hwK2pNk95NLGot04ZuckvtECCDBkBm4tPIbIhjYLJvJ5eiur
97oEonnLsSDng1vmxau534oippzvzXKtmhsRr9F0WCbqS8D5EO9xZO47nt8O87vQeK+omyFmon4q
p+4IsEzZNgKu08YM0s/hhuYIk2Fx7dtCgvb0NtGeE2jYlXEaIR6jEkZjWnbKKEUo3sAWOV4Uo+b0
9aNSOWW4KUpM8uRj7z0p7corj5AXlf42BoM33db0pFN8u0W7l1aZ/iErL0kCz20xkO9oH+xshTGy
As2MGNbQAJUzR9efFD1dVN0Z9RkmzTKV0XQQzBWoqEy9GY9afs+SENYLYnCPojXYQPMsFsUCFQIV
G5xyqWaulLqNdjCHe6wsOH4Y7ILuB9o5NUco3B7pwYz/hhQ+reNg1atrRX1q5TXN1wzqXQ8H/E8Q
Lkm9aF8vKvjqpvVCQw3U+kvjbf10p9WnMkHlex1GKyyLCBJ1/Kg3h+rWKA4cpLHY1+QH1VaQWcEJ
atKeXVxvKYkV4UWfNkRm4SmKQTEKvz0kAaejV72K4wsMPx0ErrIHxKgPZxhmnnbs4rUBaDTe1tA6
p1Mtgqd+BxBLkjC89tNZUu6VcJuL7KddkbxOjZNAF/lo2Ul5cNCTJSaa1XSSuhf4uqO5gTRWdKc6
2pqSgP2yXaubiSZE43qwBILneKZebEayGEVDrX0Vl0uowBOuWk8+WzdpbEvcyYgnd8kj5ojcj724
xgdg1DDNOhYNDN391D5WM03ZNXOYxv8AMflS/XbsHa70AHttRYe1+myZ+8Tbq8oGwbPSpLOu4c/t
NHGQOmo80RSPUU5vrCcOdw+DP/Z3vm7r7QqnFwDHJy91h8FOkUwP9rr0bOD+DRg3XkXmvV+ezdCF
OSdK62Lc9f1SgBuabUX51GGtbCByV2Muv6LPi4FyUyzaB3WexizHEKOreC3LJAEIAvYNnJNT2ncL
K18GiW14sm0m3CJ7K8EXfrBj0r+uOCIdoImbLt15TEuSJQRuMsSx2kTZQjOPqBiM3IIpotfSXLM9
meE6bGJMl87itIIcX/Az+NilSa8QMcoFthP1qSjpu3unZnJI9vSpcJLmJGerUIPgsfcxlhS2WU8N
5e9q9Tf9VKl7E2A3NtZ7ozxGKHfWO9Lg3HoZ8n/MyOUEOuEqaPlgm1khRO323PnYMm4zSpPs0Yge
qo5abCGjMD83JSKI2AY04kU37IjkNXk820IUTnAtTf1QlA95dlCogZOjB0XJin+n+LoxJrKKQxq6
bX1bxttevFHKk2neBgjpeisrOaKfF3GOhPtMpKaMHKmnK+vvI3MZwQ1p+ifg3rPAG6EebmWQYcjm
6m24EIwJeIBSC8tSe+paFyC/Fizhd/oqMWCRM1yj7sYBVuh3IE+p3tNqk3KE+bxR8CGWZ0Zzdfoo
VxCUZu2BujnpYDpjd0R9TSVULnpGGzr/sUHKZmu2OH84OCEHpH7I4IN6X+TdGnt1xYLpuyr0tWYu
fXRM03XpPWk+22mJTUiB/zWQVXHvSytFxisQhQl47Qu5Wwa/KuWYi2jHSnYb/65eegrbRVPfQuQa
DNjIiGDtBnMNmr2i7wA3Ntn2TCKqxyz5bfULbAL6AedpN7C23OWMz+zBW+njScUv0HOz8RkFAMm0
s/AZ9reQMVVci8omtB4GcSnLe61/09SFDnxDgvgLLYyvRdBK40NvsZ+xoJDvdYu8H1/7Lf7VnfAq
qXstfFDzM7dHGq4jHoj7oyI5flcmZRG0ztCuC+GmDm+08kTXg17COLoD7BZytcquSIyM1g7ac4iu
lqlvI6ittZ0aB6PaFsbBtJgkGbssfdZiF2k/UTn2EknvqjHXZoQhmHhTDSsSMzXealzjE1IEqG8w
B8rVxWDdqvqvJiJ635qAFE147HCtVaj5ywEzjjB9r6zHHtbatEpTlI5dT33uhjPEOnk4jcky7dZm
PseHXHIltkyVvdK3qPstxoJ8fLU8CjG6J/2vHCswEu/hPUn3yfgiZW9F+DscX0nDYTXl8+aFk7at
EjDv7QcsikJde+JGqm90/p6muWO1VcunfnRE+T1luhdBCKofIS4B0M71TWTuUCXomF966wm5acNa
+FigSJAYwHeB2LZIXV49/8WgPp+eNenseUt4Jk2/DpPSRh4lkN49qETUHPh1CI42IKm5GYRXxWTC
6vKLrOK51nedfmdAjw9+QZmbTb8VO2hWlXQ0ZLfn9eC1iDgtqHVhq/Gn7XFSHHlYUYdU71Ww96OV
iusgkgLncboRMycY/rTAsIPAFvtzo92lhqsnlGnoNuSulb91CMlYmzE9WtorgkWkP41xrKTnXD/I
9VGc6F5AmvPv2eoZ5s3EmQxWSpbdpZoLqZG+REM3rkBzbp2Xjwo9opq9IPmv9FKC4NhrjpTkTpMi
iqmuZv65lUqOIKkbHGYFLCUzmO95RUEKVwONf/YerncjWAUPtYKbXtz2LGJgbAvB0upfYNOlw0Ns
uWr36Gu7zHhvxQdl2Bn5W9/ESBj2zHbhQ6+64UZl+iyGD7n+h3hA6q50riGndj6eW+p1Q7zRddKL
Z7Ert9qAh540Qgq+wYOvHx5kYS9bjiA3tvDk92QlG196qJv31D8HZP+y91imZ8Q8NfmxUXH+cbX8
prPkxai81MhzpJpixx4bsz4S/zGRHyrbKx7q9iMaz4K+huDsq+tm2vXYo3Ap1P2dCmyt36nRYZie
p56fqbqt3NoTpJxCXwnWutHIKBK6MOwlNILwEV3J3baU7jr5JY9WUyY5foRKjOtR5ma0H+2Sknv2
ci61TQcfj/ZRjU88Woem8Ztw72e7mmE7hjxt85FEd5CdAPCCJWibgzfBWFgX+kYWV1Gy8ZrdMDxM
8e0QPSYj4l3R0S9+qdM6FScgdO/t8EcCZCGWOHnti/I+AJqR2XWD7gsMGu4CbYMLT2LulXCX4uIB
yU9epSiWw1QsaZ6RwHuU1jeihuy43WvHBuFDb1EW+z45QeNrwDPggQZZQSQBlqs7E55H5PY5hCFs
zm+ElN4uzRtXCGO7yG+acBvkbsQIlem8EMHHWObUKfUqRMvH4xdD6j10OmLdUIfEBz/dGu3RV7iB
kN5d60hP+PceHE8fkNPvqn6OtN9hyvXhtAibdjtTeqn9U083ZISET4WftG5entLURWB9MRR/Ikgr
hrDyIX325XYatnn0Qt1AETzBEQl2dX5rtre+v81RVBEpnVXH7JySXm72mCvl3BlyjNbRuhzZixj9
fmURP5VsfJQZ9F1loo90Q1IfYYljrKcao6p4W1CBkgGlW7HAJAnGAOyycT20Kz2KFuJrqeG0vU2r
e4t9iJrP/KYa5HvQp4D80gSINjz1/nCeICxj7KPQ8yUFSlK4Fo8zF5lmoXLf6Fuuy2RcDbEbtUud
SgZ/oNI1i1UQrmCh8SF8cTOW3M90UXbNuKvkW63FEmDhJ1ssFONiJxauSf822nR0jJHZEG41H2eI
PUkC3ZlMybnBaAY2a6sj7+GgvBtCw6Y4CfjaquV730EtOzSxi7V9WVI9uEG1VvNdo2yygGjCluyL
Gb2yMCtkpiByQ9uMzQPMO7WExJY8IGIS49Nb63/QVyRJpXZYC8JeVUsb3yTZPFTSWqOT2LtidkN/
puCqBOu9HP19G27S+jlOK+TUULLznyUPIaCCG/0hbfdpvvYVbEsnKHY3oX8Kutum3yLXtI34DX37
RyR38qcV518kJFvFjVnvE9kdIAVBAqtR5aScKm490lAmxe024QL26Z0a21I/qoOy8LVzGze4NiIy
syyif9owfXROEBXpabQW5kEEByF+dC3/34upIBbVPGRtSzzxF6W4Sz2iBncN5kb+WC8yetYVrr5W
8EeUHrzpqIrPcS8hg4FMkhk4vmA6eRgsJb/d9OK5Dc9Sa3BxUrNEH22JU6efH5O2O86jWKTvV1Gz
nGLMt7qKtrwjSwclPnnlHxIuZiBB8wL1Y6GXB/oKU/ZbRlJDK1w6+ZK4MZpfKdpWvk5sawvybiY6
AheW9+TXt6J8N2jPinxqG98u6K5kFH5CTZicboD/962bha8+rTcP4Smle/Aw5OvD56Y8REhNNOdY
QlDmT2PcNdkho+8n92+D/jGax3+uNyAHKsAeq/eWgS7aWVEtxfzerw5J/bu03ggMuIe4kkd7kvhq
+g90jpSJxTK3gBiu3OPuPEW7cIRX8i5I+6gKV9xmEZKAbaJx1dMQwnGO1BOlNOmD9AIHFkAsfyJv
3VPjCAowNljywWvHbCCIbiVvztzS9aB95J33Vtbos3Ej5uNG1INjnKurotn2Mh3WhNtD9GukoMhh
AOd2D4Mi4UXVd7X1Eowj9U8qMVEUm/ZdD8E9OZVspXsp8JFNlXFoRZPKtP1pKLhzC82izjQ149B6
eB8vVJQA6qVmTeNtr/rURnGbTajO9K8yJE1XBEllWhOGytMynKqZsArpvem0rdo9iXVCm8Wg/ehD
zYqmDzlMhnVtCCYKMsaN13pnA79CdGwM1OWqYFiRiQboHAhnWe53TWENDta2rKkXrlzKkh0z0QLS
5tMPgnnStTurihCGo7bSzjUIsyCmdjFsMfvAzt5OGxl5lwqBBpOynqvNq5gTdyhFI67Wl08KwlpQ
uez/inSPhzFqWB4aFmf6MtKW3Wmq3yzkia9hw6/NSC9GsZoQNFFcgPfUk3CtMPcPrH6ZDuAjqUp+
nsh+MycHRo2JFCrgCkjaixF2A68ssWYSiYwlnOgHxAbayWZxBSH13RP9vczF/BqdiBG/LpYR6gAo
OlJYCAp0YrdRg+gKgXzGRFzAllTMcmVNA6+rQyX/DC1o5GwKtBo6jrgN1/G2WSPA48I3Xv/84r7D
fH1aZ37kv/C5GMsFopSyIfxHMSGsLrxV4XZP1kOEEhU+DaETXAHTzd/ipye7+Fa+JeRWo/FkYfOm
WksJFz5Z3Q49QgbF+5Wn+wYN8OnpLj5YreqdNjTzW1zNnuR73Y6c1KZzOd7i1WM3p+rjGvP/2pIX
YBe5QyURMh5sGPMuSf5kxO//y0MZsqYrAMmkLxIHCBBaAyHNctTV5K/Ux8zhnlGjxR6KUgh4GIfK
2L62Ub4+FuRMBTc41bJEztjFPulHOfNiNTSdFN8HSl4SzdxoNPfnZ/tuFQtAl2QoAEC/YAINX7WQ
UEFbX8hNJhF9VyJO1RjLn1eRv8I5ce4D3oSGP44sEBgvNj3qUqYVT5gA46q5KApNWyXqJMD46pQD
Bj/4cKbknmJJj88Atcc8WZRXFHbGqp0xEVnWR+Ts6CAUhYlOQlHTZ6uEdo38pwxnT2ycKJSaTe5V
+X5QKuGxVCfpyrua3/jnc4RVA0rruiph64HQ0+eH0Aa9b0kgObljsa3m2qfJi4+8UQ/o6VwhOn2N
rypklRmZK4rod1xiNccaTaKsw/dSNcSFYrV2CQLYG65Z7V5b5uK4ejB7TKGdPEfQjRujSO+Shr6D
Ff/rMD4/DQ7akoXph3GJH+y8tizTEG3ksepp0YpIMmq8s4VWWck6jxT9ypf6hsXFgmw5MMQaXjiX
OLEcGdQm7nAJq5fGQrbFR/A5KHPUtvSqP1uPtJdx8HzowWZciRXf7REonTNGyZAVXb0MRkFNKhBA
UGtHozpUSqEhWhhnSIKFgRW7jJtT5+ez9Q0bg2f9z5LaBUNPD0M8bGfIHVJu2dKD5mT7DY1NdPhV
YCFxPiwG0ZJupEiEfl+atbKUtBI1kSZgIl9GancFSf3tOyBWzpBUxQRT/vmcTB5aO3mBUVZiBKRK
grGN6lKiA4WVca6cf378b3fwX4vNAe6v63T2QNIZE5sMPsQXKQ7XbTQuK1h8/4cPK2NAAgxjNru/
3MJ13YKq0XPTkdDpcnRD2E6GopGyQ3GQ+uRfyucD3MOhA5ybNoOWsY+aH/uvx2qjoUEkExIE+bQf
4a8aJS8qDvF2lyAn2/kGmTmQ1XIXRWp1E3QMYX5+r1+TBhVjJwsTbkVHUufyB4SeHuCPh9V234vI
QY1YgomYu1ItzpTkZhKaD62+6mfx3dbRZMPQsT9DleDSH0iKMW5vDDwK0hytXLHBDU5q7uLEF+y2
7bQrz/jd3kE0COMHOIGieekPNrZ5JIuomDmQnRDsDBLGKFgKT8Axf36Z3y2EFreqmfAZYJlfJOah
jitLFGMvEfnpi5Ko9wkdZjlOTz8v893b+3uZi7NQ5arimz3i+Bp6sRGikj3qnCoznBD2089LfZM3
QKQkL1FJiQwI1Z/3Z6+nWdmqCOgVKgJx0YiwtVRk10Kb+N0uNE2Tj0SCMlupfV4mmlLIZj653SQL
9kTdqqNNW6JJrHl4fKoUVOVG0/t3gQOIwdjG88Z9mJqnyZ9uoPI+S23o4rWxtZrWLTOaNkK01gAr
9OnJN817U8xc1Zu2ZdG+aMNZInUMI4CfmlvLkJ1UpF9Q61YZfqGaDtua3jNQyI7WQdAzlR9ddvKi
M6rVbJQo4XKmDzBWLPpe3bpH8bPXV3V+BpBBw+jcGAZoIKBycrHUetBa+u2MFvTHmy65rzR9SV3j
qIlyEtKDIu0kBMNED6IqUnL0vgLrZpDQCcPHZXSqCOxqtKurBDQWOIhZnPqlTm7DoLKHvFgONFb0
ot0o3i5imOaNgaMwPRLp9uUi4IBNGsXrsOywfYZaFraCLdTJCsuWndIduVRXAxARmWZpWFVnrF0e
KgB1liacO6Xb51i8/ryZvpEjIcG1wNSJUJulL2L4WtAqAZ6TFoRC9KXW0TMKQI6y0rYARHZ4ITlX
SYXzHfQ5l9NJDUwcQhS0BxGC+7yxPHPMFKlhZKyeij2gs0WLResiXsWb9LY/g/u6tpW/7uTPC14k
j4bgRWUtsiB88o1qN2dz3Aqgb+c+FNzJcgNHZiX0L1rx1j9dW/1rYGBxLIJmSySy8Et7uA5FFOoa
w0SDMdZX3kBvrm+k90hUtE0YdL9+/pxfo93n1S5ig4Tsz9DIFleyfxzVGoUZGq+N9a8z5HkVxDsx
T0BIzrwoKYIhrxB04JnaULTWwjBNTlMBSEwII1fu/m94vLgCoThAWocfMgte7Jau6sywaE2nKjyT
UVSEyixeBaAbKhQqm0nCgVccaIBoo3gXZ36/7hp0hDUVTTfUEWLXGpFNLgw1fvzXrxoJAGgXyPhA
aL68wbCWyExr4Id1NYJcHYcczf2sWBH9tSvv+5sNzFLcyRTBSAddCqX4fSDUdKY5l8kMxNXrc6V7
wEniFKWlYeab5i8/P9w/TaSLQ2pqNJlQOpC5gtWL1+4niVX6MXKbJZ6dkuuv+xU4wpW1DO3xl4lB
euoAdE1W2rXD+vV20z8tPP/5X9lXJuRabyHUDH+mc9pjjLuCugDPtWgd0ckbxlxLAMb2z4/7zQtG
lETUcXyVSLguQ5KiiKkQUwuBxPftEd2pFFFnC6n/sL+ta+9KH0r+7hnhG6ky4jPQKS51G7VyVFMx
4hl7G2mtrYm1zJ31Tt/bRruzWdYwHcoFmBg3v82d5BXhwUX+lt/QPG2uve459l1+579+yqWpTxjU
ULzNfn7d/VJywiXwb9XBrGzZrLw76/7n9yzPBdGX5XDmRNsYyy+y7M9fF/zsOOgGjovyygSIuMic
kbt66W1mEjtQgYdiyQzMlh7yl9Tx3emq7d+3r/6vH3BRdZdW1acaqtjcBeNSB0vAPHOBct6hWvYO
V3juucivX9le30Rl0/hr0Yuo3Ct6nWtKiH3x9OolxqKD+55i9fH/erlwjz6/3KjuE6EzdJ0x/EJy
X2smDYuSK65jwLoACuWiHe8tHrbyOln1pyK6tv43p+gf/yk2tAZV6LKN63etlSbESyfIinWjB4iR
4jtGySZG6W5qh1dtyNzA6+wIJwyQbpuqYF5s9nYLprDRGXbi1qWgi0ntuhij+wrneKG/b6vcHio8
D4CiDeUfL38Ksmu0sG8qeTQiTJXyUtVnfu68b/4KO15jmmmHbBrnoNqPy/qf3ql6b61yZ3y6lhN8
d6l9Wm3eMH+t1ioZ/hdxprOaaE+O4tQHYQnF516ywaEdGPKu/vXeMOhm0RAQIXDxHBdb0PSLxEJN
V3fGLXhAG/tnpzyYGzpcGBAsjJWyjB3UmSC77Ge69bUT8E1XaM6AZltekkyo5RfvF9ZzLSgRHo3R
3joXAFudzM0fijX4smo92CZWEgsA8DfyldHCP/nV54hjsKRB6kApTfvw4sBHWQJzzCs0DnyyKTbM
cJdYpa69TbgCCbUqNw1gRTdb9pjauD+/9G9y69leiq4FT20gf3UR7SIDEspYYLkbbLxVvGYojGDo
AqggQa5aeE8CeqZXQs03FHCTFhgtZZEzqCIM/HlrDU2FCBYcTu4WHCjXiGna8qZ3dVfcXXNZ/ubd
fl7r4qMGpWxOQwkxUI62WPlYZ98FloveirKX1l5mo+QW2pF8z2Vih6557VG/xnJTITGkRMX0FE2U
i3jnpYYnepM+j42SW2gr5CcY6KyGbblJ3egQnq+e2/nlfd5Mn1b8p9f+17lVxVJJSJdQ5Dq3S/xE
1thY0B0vndnMmqMU2UjL/7yJvtYPn5a8zP1EMfb8GoyMowYo8xdcI8xFi1kypAKlVOrKFZrv15OK
kLTMzmG6SK9NNOeM4a9n7LoSUXKFeW8tJD0VRFBqB7mIxNt+DOIXpfJUk1EgUzRQ1ILvZqYyYLcy
hvI2TOKOppkIJoxgY74UoYjavqQlJR0CbKSuvJkvn//ih17sdI8KJGsDXV0a+bCOI3FZxy8/v/uv
ido/S6BEL9MSNNUvrZZ0okOPMAo0FwyDhFOTvqSgZvEVwGXpRveBtNdPycypSF564NVZGu1SACi5
iOwu+q6KCDSFPklDiucpxrIzUyBWWLvFbwqI+p9/7dejP/9aHS4wLhgksZfJ1aAWaV53mrps03Sp
q8I2mHDKEXNwtqBcC9haUrhDTnKVWJjxpMmVScPX8erF+heh1g+ivtNaC2dzzKLrIz7Yq1/GCUdl
JyTO6dc6F3Of4NNhnJdDCQ6JEhUb70sNhniiC1U0srrst8UGHNjB3+cbSCXkjVevr/l6/GEt4yLU
iIOQ1ewEmvpOsYHyYTzTpyJvjD88ekTJQnRSN/uQ3xuiwP/i9vwSd+ZHJdbOwlmYrF6OpCzLjypz
ftTOLd/kpb/FdGJjLkYHzIRzvUXzJV+9WO7iQ3qt2KgJMWLpdfmqa9pVPqiuPl7zX/8S2i6WmV/6
X5EmF4e2sETgV7oI6zNLD0LtwXI89F6/vXI0vosV8wQRe0n8JaXLLnAUTqoQIWC49B+HZ8XV9okT
QD628ee4CXbSR/B67a747uH+XvEijCaY5KYKWcGyh/gRaW8FEH6pfhNxPLrybN/tzb9XuoiDghrH
Rk/rBSdzCYbHGTAZjKlFtYGh71Y7vKCQhSqd+F50YPVcT+20bx6VoazIDUwfn17XRRqA+kovYZ6h
L4euCsGPqaCsyto8FoqWLY0sauwyskKojXHl232Sx7u05X5RanpGiyGNcCBLJCWpceeACSXFphJD
4W2Fh6moi8dR14ffntaI+9ZQBNcYeiJwwejkWKYlaoXI2UDOsAxsVsKkumlGQ9lJTScD4Y0DmN1z
+gWLww1buGZMSdsXoJEWDeKcytsHMajGkbQuBVBQaSzH21EzI9eYEnDpwgSQ/79JO7PluJEs2/5K
Wb6jGvPQ1lUPiECMDM6kKL3AlCKFeZ7x9XdBlbcyCIYR2dWWlg8yinL47H787LUZnDn57vDmo0Es
991AJNdLqtop5FL45rEfODkJCicrymAdN6jFWrGv9mXfyi+SkLj7oY2qJ7X3omcj7aMnKzfcjWwE
OWgq142za8NrsdHlqWlvZLF7IEUl4mBhQZZxDK3sRVJvXRO59eAam6EZhlu9KOod73y1t6tVsyw2
QQcp3aXmX0p5bE9Bn8gZSDVzvKo7rUE+Kpik9wZ1fR2LAxKYwCBLTTI6od1GPUYGY9UoKlisSDT2
6jB6p9j1UUmVYxkBXAi1l7L/ofhyuY8Bh3Gnk0syW+PjUModOVcpYAGzkkuZhw85e24GCwMu0ZBD
Jy0kRByJjNhBy3oo/n2TaETx3aFASpr54nXWWiK6tyRmmrhknHd9iSVIJbKXrTyFp0SymL0xRCBS
RMciVBLk38GwqXGrcRIv6nbg4Jt9IfvmfRnjAJN5uAlqZq8dKnPABaC2OjL1vEmTJegYxJSG6WDh
lbzmcQNPRw67m04w0hasQdhh8elrW6PvcX7zSbZbY6xOUnU+1s2NUAXRFikz4PQhLdHntZh+2DwI
6s9aVrhPBMxEUAfDINdk/ElZjXOBan6RI680VuHoS8VW4H36SxIG8kPQZ8ZuYRWY1uTZDsUkVEmO
wFfJkOa8wzYIgC2F4jStJmUDMuGUTXGKKaGgyYdVhKIDd4pD75R29hdiHBdW2HflzxYBvSpdM3Qp
v+sMxzW+98n/GvrNFeq8hrNLs1HUXDUaFIdlETa7zvWAWwwxWQZJEWLFE0skNiDirrRgyWnkY3SA
oiWSQbAgITwINvn9ToVRn+plLGdOv6mvVCdwBEdMiUmOK7iz2y5fONpcasvz4qYF92xjLNoaBLhL
cZhl3Xo6umHkSt3SvnHhUPGuUrPbadrnXeUFKj22Gl/6NaKTHcqzr/2qW4fH7KZZGqFL5c1OFQEa
Z9JIqVW3kg/1Ho9n4JVTYMrfldv0tHRm+3Uzms+I81acHS8Esi2qZipP3SbX8T58HNfWJBLQt4hj
74fv1cpz1HWyL6+RTO2rK7bHA0CGEznDNsZBq2SdYaH7QzwuHQ2kCzv2ecvPT5OqkosqanquWA4e
gp0Tv07f0nt2eOPthuuMMHvp8FxpMmHfPGIj64XFYqErjNkTXKIqPFj/6orS5lWRa3pv85CxKrEs
3Mo28r+/cE5YGNXG7ETkd4WeuLE89Yd5GK49R1hZ3zqOsEg11pAjlk/tS9Wcfn42j3LLc41QmUbA
HYqRdXEXbnDDxHzR4eT8IuIcszBxL12e3/XsbBVsx6GM5KHjNvIzJcl+R7xzA8mQ2F7tWIf85+gU
m7/wwjk13SdD3ZitT0JqFhq54poz4mPZYzSaVz9avJt9WD+F8iWuQZP66Kp+9uE3AYLN58PpQ9z3
/epozJYrzttjHE+lW7yGu6ReJ9WdIr0MAdDWhXzaXzGdz2o6W7TiUpSsJKIsEd5Ql0tOw4EmQlaS
8hKHf3EdnlSRx0FXWOraqQ0/K3m2fI3J6BpFScnaw0uOz/oxXWfb7Aexy2YbO1rkPHT24lv5UsfO
1jA3IWJQTBtPu1FIlsdkdDPcEpTZTr4ImrcrFu7wC3PUnN1zW7MwPa6iJPsnT71/UxpLuVwXC1BJ
5wUjb8gfrDpHGeSMxtu3MyCvV5EK89L1+Wj8GFyfhuNZEbM52FvkJg6+TkdxBNIPzRYp0Vq1Sye4
rVeIi9aLgciL68xZibPplxViUooJO2n6gnDikBwyLNh5tBxXwra8CxZpfx8Dy7MqzmZca0ZV3rkU
2P4QV/JKf/Mc41pljWH13rGdrpbXmEuXvPNWnU08S8lA5JqcvrxCXffJT5yxUCrea9brQvctNeZs
nnHh6eXS1TQnegY2Yzen4A4jZnt6Iyjv26clMuulqBVpNbxHklpM5t987ZSUWgniqpY5loirjOyM
rbv/oYNXtvEnvFmG3V5aR3gJAU9PRiN5IbP6hW2pj2FD2LLwgpMBj2kQhxdV1ZZCHpeWjvNyZktH
bQxDgAXIr7DAprkPnHZnPCHS3yYbRbCXXtAvDY+z0uZeFWKa66aAbYTT8MBKfBhtYxa9CllzY6rN
5j8YIueFzY4vpRv3RiNOVftpbq3NeMSgjSMbEs4V4AJn8Z1joSnV6edn5wijic2yQgpA9Ij733cy
EBwDbrcjbuT1AJdgaQWbVtn5VnNev9m5RaxMAfohjalE5jYYzGMhRa/dWG8BV4JC0KWTVLsvajE8
FKr5+J80rg7+eIqsstTPxqfYYcFHdqnioBrvViTCnfBfXXkCpjzW1sSaauk0qk7/4ofqnpU4G6lp
m+Gm2AWKoxHSuBNjHNq8IKv2Qa+HN0GTdus2zHJiA1C0XAuNvKKWKTbocSNvm7QBSjj4Qosbb46H
TaSoO6s3s5cxaLRjJtfhs4Hn6RctiPW3NMticeOpIkaOQ5f1hBNI2brPTcRnBJn7Y6909b2QAA7J
mlTLV1lTQ8QSGsgosRHFdhOp7THPm/FoZkX+5PtZc4qbmqzIXCtva6nw3gI/J6lfhq/NTpMWbHFK
Iu5MoQ4iG6/R/K4i6gnHKE5f3aFMFg5Il9vSnDCdqq7rymwDN9RUbbJMlVHrWXYQvxItQTVP5mP7
mOtfFSvYfj5cLq5m+p/lzaZilutuOfgTf6M3SFkkWzQ+1sbz54Vc3NIhsRPW0MkWFuev1wM63U7P
KszPeVkohrV8UK68Q/zFgOVyD3xxn9wsaYAu7wv/LlOaZ1MoaeRGpkuZXI8349pfCe3GXUPpJIfC
ei6b9eIyc+ls9GctSch8v8yQE1q5g1ITX3jO7BNpAaAfyI7ZT5s6MMOlVebjUEEOBMyXziMNCauU
98WJSVKHRCoVvB8n9lVwHXgbmKDOdFiSBqfnyWg1JQK199wIN2BKPu/UX48W76f9JH3Ct3saqqSC
z6Z9bCRRo4cwYKyub78VdYmkq5KM8kUzs+zYdhX4wiTryXEOZAHBvNHXHRS7YWwbQqKpvE9Dq/yh
WSlrhjU0lU2ED1ZfWuQBy5VobBRMue9LHXg2NEi/vhkULDPLMiHI2cKH0fEABBfpiptISrAvLA3q
H3bxdSEAicUaOHUqrRkd2YNMT35C2KS2nyUKvqQjatyutp6h39XR6vN2uRBsetcu82dtDnewELp6
ipNIG1W30027G7dTWpSPN8HyYXLavT70A++bJMfrZCn9Omye7W6ZH/OfHjK5bsp9883fCL8iW8Vt
z2vB4qj7uLdRu2lpYioz/OZJQg3U3azMQOgJO3M7zWKTVzv3+Bdu/5fr9WdJ05HlrF5mr+A53DTT
m13nYDGy5qqRUDWDnB79d/1+ods+roRUjDfiSbJBBtF85W1iQSsHaCaOuKU43c4bO9zUx/GuX43P
xa37ZXKckb5+XurHY9f7QmdzmHf6BlkT9zXFeB1r8AKbSnor8bT4vJiluk1NfdaUSihVldxTt6BE
bFACLn2qwoWqfFz9pqrg4jypfJAvzZaDXMpQFWbAAg28elFTQ+AZwIx9XpHPCyEl6n1F0jqtOmky
OhlDYxPI+N8SkF8Sol2ewf+uijFfyMdi0IXIS2Un/TGdoIyd50B8wvb+Vx7M0vnpYueQ0kMyMpBu
U5zqfN45Ptj+XoYsX/jDTS/DUUmkdJsp48KNYuqAD+vEWTnTd5yVk0RFLamSoDjhvrhWjvUOKsv2
L8SJP4aTGAhn5czmbdG5QT0whokThrckER77x8jpj8F2ugL2wUpEGB477E27z8fGUv1mN1xDkguy
qmnHcI91xrbdlQ5+u5vFC+fFdemsftO+fNaOUjakPA1Tv+nCKa/wXnxoSQpD/On4d0sRyUuDg6QB
cnkmRSupSe8L6/I8bnsyxRwDgM0AZSnS3rru9fOWWyjkQzxbDCqF0IDs5ETMlQCANplffS6uPy/m
QoKLJp1VZh62zoqGN0M9+9eVVn1Dlnx0d9m+2ISY9+z/j4XN1jxJS8j16qhUehXs4vWU+44Jow3y
bFcsjLxfW+x8auHHicQBkTNHzdmy1KRuEzQ4Bv86a4a3NbD2Y7Ktbd2OA660wsFkg1waGpfOf+eF
zvYOK9TVxsNchNglZubp86jt+vqnUIGOgxgaPi6058e4Do/rZ3WctWdfgZ2pEXo4eJxfgzsiVw+8
5GY615SrYL20Kn7UvU+S57PyZpfoStf9KA49HYJJgrtSXYwmWdfKoLx2plfdSZ3FG2kxwN0vEw0W
HnhgXsUrMOBWNRDcQofgrgfL61d6K+cJLOW4+F1tJ1JXFmYTcwhRRmbjnhgfvExK7qRcyWER1L4q
701W1mQhNntpXTyv0Gyd1/2u0eWpAQ31p+q/Bd1NLADBHCpc14OFffKXH/SHEalx/zfF6TF5Lrgf
3JETtYrrWbnWHfhvDznUlZ+cR1fZgWyFJ17ZmQ6uLZ1KAgMGERGIAnbrYNghr7ObYbcUZFUuLZvW
2RfN+lMZDbX3e0nmDbZ7ZtHcJE4U3eqmkzwBoZfYY9PfwfevrNMUCcrWJBBsym/Nl/6E81d5QEN4
Ms1NBsT4VVjQ51y4nzLWzr5t1jVuCse5rfg28+TdB8d0M4nopG/qrXGaTLPkHe4AC9Pp0jn6vMjZ
bgxYoghqtJtE6n33Wikj4UeWJhVpEawxgMb9EjSeAMObxAcklLL7Q8H1eCG7+sLCz3VcVRC2GVwk
zdlWNpK1E/SKKznpUH0fDeG+6MQno0hfP6/shVPuu2Jmm1jbeq6XNSzFcj6u4vi72QBvFq5H2VsY
9hcu/dp5SXM5DDOkN+O8YmwfpjuD6d3Em2gLzIlnytG4Bo62ED+5dFZ8V+JsFa6IKOXi9BYcDtdT
xkZ646+br1G5z/b9Nlpc9C8sIu+Km63CSmopLdAmxalcN7nXBEm+d71huNf0XL21SjM6Cb0gLPTf
hZPVu0JnUzeJjDKPyg6NgSdnWDwlbW5rfeupq3gcxkOv1d4NFpLptWTmXLWr2IWG/PkQurDZ8QmG
idu1pijynNQQDqagj9rAwb/cCwGM/RRaNXjLCKytVRSOAPfz8xIvt/SfJc461pwk+x6SEoB41aks
v4pF6IhmCr/K3wRxulC/pdJm/ZqLTJG84/ak2ZZR4+1Bomq4wmF8BXR2/XnNLk/HP2s26848LwxI
baPkqHW2Ldw4OHR60JPFKebrVlp6eJUvdt0v3QiBIlPRZ4cjrpxiq5EW67gn5OdVtekzu3kmIDSu
E6dAy6HvSwQVAPhqx7ifnvmqffTSNSvyndqf0+kCWcvSZeFiG5x91Kx3O2grTdS2MjxF88Qg3vZD
9nuUhCQnWc7nzX3hzZtF6aysWd9KRtN6ZOErjtn88FoFQDgmL324KkNzlXTJRhtOI+YJmh4vnIGn
bWt2CHhX8Kyj20oMhyz2OCFipKJaB9VbEBtcbEVZAldCYi5ek7NWNEe90PsRK6lRCXdZaa0Gt7uR
jf5kGvl/UpezomaNGDZh1NdSw3T070rxSQR4/3k3XZyBZwXMGgsSd2SVSs01HDI6/PC+fQ7rL6HE
s0lcLVzFL3bMWVnTz8+ukKUSdhWjT3Eav3f6yiTprtp8Xp2lrpmdL9xK73vdIvwdYuHUEMxq9T0A
jBWxhYWSPsqIEKSJZ7WZPuWsNqqv+QG3VGpzCK6BNosOA/pYfGt3GN7LtszFWP2irbwXxNULy+bF
DR/iCU8K2CsaH6BBMDbEqu5iStgqcGXtabsPDbvbgIPcQTknl3GhyEvj5KzE+U7EmVoWRjMHtFlh
kOyaOCLB3ZXFdaw/tLDVP+/GSye089JmMyzHfTdXC7pRwpSpyjKHPG3bcoeFLeHiMUaHMzWpp01S
oqdan/VhZGapHyihQlg33ytXE3kuPU5PJX8ltHuxUgi/VATEIj57s7k81DVpthVWym2X7PIUwi2P
vmK+0FGXJhlQwn+XMpvQqeELWUFKuBMR9sLOApZvONbjwuhfqstsKue5W1dlWchOXIDJ7Vx87Eis
4D76+Tj4qLxmkhHfh2eEyp3RPptkhqDEJYnOhBgO2iN+NhtpXaKInPbQ8EEPbePJ4gInbsIjSsxy
u3jOvbSLIzsk64HUB5Qss4FYefBZNLGfnvDGTXXtgxxfo+zHZ8LGIYzzNVhpGDHEAeqX4GYpGnBp
0p2XPhsxRmQNozrK3CBqj1Rz6dCN+JwM4To1ciTH3sKsmxpzvnGeFzcbOkKi1VWW86It665wKskK
h58r3Le16t8MRSYt3T+nz/+zPB4doCip0DMnmBF4iHnyt9aVwuAKoM/q9bip99W2PeIvtOVedres
DpqF4T6WNhuyhpmHsjWAVNLNRLuZxKhPPWGRnRVkll0Q2nxSjDp2ilqFXGDl/DQsm9tCKbW7zwf1
+zH1rw/RUBKI2ENLvFzNmrnvyiRDpGCuO+/kisFGTXIQPXaFJVAYoxIo3YVZ9H6y/lEgs8fQeS9V
wSm+X+X8MtcRHYJeanzDBNE+FFe6kn9V00WK3vvF518lsSEBsuPBW/3gnpyKg5G0Kti+MmhAMlRB
2m+yEeekNNDwnvDhiLdqFmGElTerKm29fakJ1rH2A8Dl2NPZEnjBlY7bxO7zNr/UBORETJ8kaQgN
Z+tICOaqUL2IZHvZCyH8Vzp08hoCcgOP6fOi3s+iP9qALZnlwrQm+tv71pY8ScyKokUq7gbNkx5H
ISTijIeh2Miw56oFy1jInrhQoqZyEIB6goaCt+n3JeLrFqJIg+KFpbPWlDbJvOg2f7eChVDehd7F
BtyE04cUDbrKbBxpSmUFEEHdNZGMW1El+T1fIs/OduRfrccgJY8HcaRocqx4X5fQlHPsC00JIbi0
EU94XrZE6rK9tBrf0u14+3lfKe/v+H8UN3FGNUMC6jYXn8ZCIOHem1o4IkAzlX3u2K3bC1eZ7uFo
6WrWjVtYaO3dLO+cAGHDaiQCfdUWrnwXFSm5miiEt4g8jL2fhga5QP2wEcJ28j0yMSGpymHbqkqx
F72+2fgRMGddMLub1Je9K8FUq2PVtR2yqCjbJLUhwPXAtI8UAJw9jRabz24UHrtULb7lgWFcZVXx
VvHeg4/GNHeGYSC4lMQLC/N8gZouNpNGFagEQTLOYe/7oG2IMuddiSIWT6MgeugKgPjDQ4MPiAKE
AfuTz3vhw9JMgTq0JAyBLXgHxOTeFxg0Q5tqHe4LIk53gDY6YyDHSQi1/DDlFLyosatjIMhbzc9O
ddXnXFeN1Pb6uNplhts9fP45s5ityRr5/nOmxeTsVNiFghZ4hWA5qWs6IzdIIWDiCkKJtVJyr6bi
3RgR5RoavNN4lrdgshXVcTJTB/i6baXMsQLceIiWmFj05GG6Vq3oh9lHmPAEB1fXjznWuqie0fkV
toXysc2udS2xm2xcGWWBw0+2cI+80KW6qU9CJMa5LP06Z51VycRP2FB8UYXRb8Kg8tdaCCi3bu1G
wxrzi7p4r/wwkdloRJKL2eKA8AFkmq24WuFDBU4HgZObfNA20w1leIXG78g781rYfN5l8xVwXtjs
HO9748gk9zF2LKNVWRL5lIp1XfvrCjnB50XNd5J/FWXBASLplqPpbHn31VK0GpnB0UdXVZvgcPFQ
K9rCHjK74E1DkIwCTMt5WEP/++Gu0BuuVwaWSOutOsfb4ZNFfi/WaytppV4FN8rC8FgsbzYDJbSG
WR1PvUV5uM2eppcR2EarcGe8+c7Ss8h82Z1XbzbDSLaVIuCIAvdXb1edgq22ldd4zC0tLB/Hxftm
nA3CppIHA3EpShbWV7XQceRAIYW3gjv0dibnu6ooTnHJQt2nq5QA9pgeRincclDZliNYxMWJOAuL
fezZ2VBlM3HzvvhV9WCXHPx1a0d7dbOcCvgrdef8eD1v5GlNOJvzjWsluVfRp6gwlJW2L9c9SHwn
35R4kZ/wPJvU5N0tFnQrc2P+nl+LUG2OFenI4npi+nR7LEc3S2ibmcDtYwPMdhdR9bNAnRYG8dDf
Vs64YXFYY6X4Bv5pzZIY2o/tFa7XToDMDucxRzt0j//iE8BcsgmAX/fbf+fz/teP/r+9N4hj8eBl
afXP/+HPP7J8gD/p17M//vMU/CizKvtZ/8/0a//+a+9/6Z83+Vv6UJdvb/Xpez7/m+9+kX//j/LX
3+vv7/7gpDX5IHfNWzncv1VNXP8qhC+d/uZf/eHf3n79K49D/vaP376/JkG6Dqq6DH7Uv/3xo/3r
P34jRkTEgXXqv87L+OMvXH9P+F2nSt7K7/Hr9+riL759r+p//CYY5t9B9ZM2C/mRJ115Ugh2b79+
ZIp/l0TeJ1irSMuYyKu//S3Nytr/x2/S3ydNHjv7lDysTf/99reKDGR+JIh/nxAY081+YhyQJ2tw
Cfz/X/muz/7sw7+lTXKbBWld/eO3aZn6c8hrMKJIRpBE01DFiW44TyqS27pt24ColJ9/tXDJ6fGZ
OGuXP0o8L2G2Uv5RhEYhU/4n0trZ8C1HNc4hN4nrKalXaifrQeloOfg+OaWIgetfyHX8WCuKkSfw
HM9ABk38fiL3g8yOnlFQKoKN7OBHSgvXo1mt9ImUCzYHQC/3lakTZquSOybeaIqhtOYyugeIPdh9
ZoU4Ruk7ADruKmzUfeEm8CCkb15fik4myPeVVh9VESPOhSZ+v8WC55xC6+TWEhMAufrhOPjnDUqy
qnI7lKHnjKQorqoO1/MIDnnR6WsN97BTSFbSyk36XYl/k1CG22bAyygdkvD5L9yzpte/dwPs131B
RKJBzgvXO40b5awrtDGMI80acBDu3K2YT9Y2041yDKOroO++9I3u1G4GOEE4GJIk2qqJQU7N+h54
O2FMHod2XHWuuVe0fBsJ/kPjC7tYHp/0pD0kUc5zgri3+uwgdum32oxeXEs+eYIT94DRw1GS8Oxp
0e77JhDR7FspGfCHoy9hIGz8vN9lOtaxeMsVsnvQSQTpY3mn+OWdqQYvriA/p+pYbHoTdmzs7SSV
cL9h4HJnhj9q4oRjgM/nEAv6Vs/A96oZpm1ujoFW1UZPRmkA8SyE9FqNDWUbZhWBvz7GqTuu5H0u
kj/lxhTvYdC5rkmXPQRdhz63AX3p+qAruG5jqm1Ib4hpke5CR91wlXn2slDcwtgIdy55bOtCVL5S
k3EdCZhQe3H5oqcgdjNiA4mgvkYlx5/Bv/W9/k3Wh+PoeiepEk/J4GnY/HmPaIf2gSZtINVdm/4I
8LnwvxtR7QRentm+YG6GAgMfX8TPOdi1Ax7xWnPbFcMmcKM7qSTBWm72WWJB6+jVQxc0X+OSvTKI
wGFEwhCstECL7dAFLU2miQ+VqLzJwwD3Qf3eqOQrFasCo1AApmH1szLV4dFwMXdvkubWkCFNgXU4
+Ly3GAW+eyIRfBWT7bDVdo2en5RuePOF4tqqFN56rckh7yAPyabL3asqsg6xyBDD29EVi31Lwk4t
+N+13HDIOV1HPqz1Lqy9K1DsV0UoABCJHvShvtbF4Nia0jPoksjWgwLnpXILEH5XSz7pl1W3zlRx
3b/pXf4FpeOzl4+OAr6V64v0DYv0bVlMxmhu1uC7yJVVnwR1bZp4a2PIEm+FXt24zotIv85HieSa
HthhL4/6WvY15bpHg2eTpZRuZKktbN/U6i8amO5bL84TENkylnyxC2UjMaKtH4/KNnW18Sn1O5Q8
kdnYnS63eN0Lb0beWFcR8LC10bjBplLSeC/oSYmPi3QldOJjoBKJrkCmACdNZPDfZvxo6MNLVzH+
1JLonjpG7cqUin4TBKO1gaqNN2VcN45kxL+nRhmstUQ0nkUzwVUnz0lKpc/Xg2Bae9Eq8SwTO0CA
4lg9yQPsOCFMqhXpYXivmcmvB2wBUa2Z5mvPTbWN0UVSZ6dqUMDT8tArlOJEBC7SxywSyxtJb1/x
grJsy/eOWVMRmBpyiOV0VaN73YtOvG5XixYCyaQxuSRm+SZvIXOIUnM/ZukPL26UdWcUlaPnfELo
J/xbonWt5MmzmvBkYvaTo6LYv4RZUth9iQFwKoaNPeL+3EbKobGGzKmV+GsuWes48XlJSrBuFaBZ
6mGDabBuYHeGp1XHAOtL7ckz4gfZCrDDNtqKFCVYNWLjHtwoapygt8pdiR0ZrPACh2eMwAkUYp5t
WFA8NAH6rq8oWz8SvrRNCBldSq99V78DfFIwRvObwEh3aN+/ZIX+k5X9OpebzjZVQVgpbgPFbMCz
bkwIoWF5Jw2TrVtjnXrMZEXRf+jwkE584V7DxFUnqTzt20ddgLisVZK76tSxh2HmPaSGAABYcfee
Euo73yj2sG9ui7L+wkTGb90SN/B9NjBAgT4mFpzzqHtLLJKx+hE8SiIFuNGN1jFIk29loEeY37B8
6eJPKTZPdRr1tqAGa9OMX3MDDAy6rhVqka0rEmOqO+t6GLUHi0Qgb0gwldUa5n7PP+5rHMq9gV83
morwaELbddZBk8LbTlZuLaSDCEV6XPUC3CkhtSPqspqXvKffVJHZE+Msq0qTaUatv4ZueNITfRfq
+lU4Vu7XXlUZkmbe7DAqw8Tb8gD/qPVaTRvNFv3xRWm9HwWxSnv0AfOHRXmbsfmkGX4SfiF8VQoy
5PqixIlH7cP1WPK17mRBOejfU2D1SsMwIj7ihz5AxV7a42CS8GCnHUbg84mqH7VIfCQgsMmMwUlq
Qh5A+l/SntS2MHhSU+U6EZqTn1RExDUnzr2b1FD2YTsMq4Yn1s5qTiTRjauyjXGsh19jh0pA9CIb
tmmnXLmkkG2JxK28WCSMIiUv5mSqqMo7o3a3QVE3dt+J2GQLV6kWf9cT88bj9agr0luVS7bEVBZl
2lW/b1XYxi1P09aOE/DGDNMji5gdpx6s1+969K0CTEP+ERguaaUZ/aoIDmJzwuRzVGUyV+6NcCPm
z3LUrFrhSglvRGwg1Suruu1l7LseZYB//S3nF3F4jYqHXtzowTptjqmHu7Fvu0mDCminql95gPCq
twJ7yzpgZOBQd6vGByG9111MmKUrTarXAo5tiaBtO/33LPxeGPsQ79OEA0bV7yG4rypddCQdK3DP
dSLtttJ+NuE2ybZa+oPMaztTgNZGI8rCqy666RSIV4oOMBC0sD9t7rs0MW21idK1UHCwVdxxK6fS
URHamyIVHqMxeyll9UfTliHdiVdMV+FFEKi4goeOr8R3ojGs/BgnQhHf2W+Ry6aGgYGR1KsYMa9a
34wx6S9uwlPAygsPldc6WSqvxf4QypLDoQUMBGxZWf+CZyaN/yLHT7Gc2bEurit1x3RqQo3u4tUo
MuwaouOAI7DbCT9GNy3sHEIaKSDtoLzJ2JOHGK80g+t4Mpbkv7uQxar71hBy/jnTUXC/NgTt2RIU
u+nI0K6l24Cgo4xfoJ6+5L6+YY07KXV56lNj1WBQJrHAAdFpGg7kKLhq/yR20UNisnPAO5fpSeT1
XwZ3WMlSfDUIuF2W5bVWxffWlPXTVXchGKmR3BFF4NhWuSCWR1w36YYGknDRXGGJY0fJtySoHpOk
/BKalt2q6RYhKL/2XIYVhrZ9eeWN0Ev9n/FYXKeE9ERsK40+3IritewK9hgpD7HVbC2EajGWBaxj
aw3Y2cD5ngQHfLyKTZ78Hpa3XvIsdYMdV8EmbX5X1Mgx9dcm8k5ahqYshGOO77A8vKnR7SDe+FnI
/m/ZHGRsNS4PDWn6jALb7zqb1P49mzhBU+/ay+JtXPS2lFYbJFRrta03Utjf4djoMhOCA7pdm1yK
feANez30H6XEAz7FVFWC4pYNcRWmAtbPxwSw8ihALAyydaZp69wVtn2sdScVp6vY4yhVRT/8Itk0
Qr3xwnBf0oxFDPYdFJeM+W9g3XKj2LpWtaqkYtVLLwa61tTaiom7wqxrbWaarSspOyaaevYwtTSu
xwY7rR4fJA3xSNNgRfbdaj07UsKVyKLMrXfVtDeZCNMwaG/5ZFsovgThqyG+9sEviwxapdh0Zm+P
fXzbsobHfbcde9cZMVxV8ta3K7zHZf+G2CIMEEHdBj0m62WNhq/dan214uXKVtRhHeA4rADsVLwn
LNDu6hEbU1yTRBzidbPddcJDOfDqFomrKPR24ug5VfroY1Nr6tm6y3ZCXYMe28ZsM+Xo7zKXeGI5
blEP26AGaXMQsa5EIx8i/22Urmsr20XmOvB/NsGzgayEnaqhN+VjHl55vJCo0UsyPFfxk9K5m0p3
rJQF9GvAfScLBUe3AKmq4r3ldeyISWTXIluWP1wZgriJ05IHUPmxNhIOhtiX90dZ7WyhpYldtvKs
XaV6vyqnJQTbQ6V4tro7mfHmh/EqUULHK++QByf1cw+iPNYsh+iC3bkQt9X4ypeB45WsjlG1kltv
5cbqpmuktZ5DUmtLOG5CeRqSqNxYeAax1mHcooMe59hfVLce3O6YDwmlN8+70Y1gneGgDAVuM6Sh
reNQOsQ/k3y0TfFYil8k886CR6c1eEXzepG+muKV23zXlI2enTrvKBSNLZlbI0w2Ogy6PHRcOaDS
3lpsdz5O1K7oWPKLmTjCiE0Eu3CIv3xv3HZauGuSFzKmJM5Y/XPaYn2b3vXBtyLbp1HLUAvWSYHr
KFupYEdZywXgprCOkbXzWCTifh9pGD5V13KxNsPgJjNvQv1RroerQrwX468ZYlXRP3rpw6AkttfB
X66jrRcxvo1u1Vf4ZiOSVioGtVs7nU+AkEU5k9guNSpSerYZuDY25k5gofswOQGIu5FDjR5+5aq3
sgT+Dxnc3BJ07zqOs6NeB+sBjW5SNyuDK1ldYEfvGysX8LH/6MX3hnQfi0Rq3irshKsisjWapw84
cIxoGKxrQ3gWaij4Unn0Jd7GgD+l4k3hv3bK/2PvPJJkt5IuvZW2noMGdSGmQOiIjNRyAkv1oHGh
xd1Tr6I31l+wilXkY/1FK+tpDThhvswQAK67Hz/iu4wv2X54/CpOkP7BYM1SxY/N+KMtT+7Iu2fV
r8NYqf2HQaTHniPLtV6K9ikyh03mX+mWBl2QHWAjwqmcaMzNTam8sI+tfS3Vzk6WwG9vFztZs264
t4dxU6dijVPh2o8/q/I4+0QKXfTdxUMxfA9Efhtpel+mp5nHdkbi63XVtmMEHCef7/ezib1wnnAM
ATsSpMV381dST5vKfFcth3xyss2zXopgWj6R42MkF0gCLGai5KupCAf9XQk0mxwRUndDN/KZTtXa
Fo/Y1QRQ38PSz7dW1IaeCUvFu2kaKCuGsekqc1tV1rZ0/KBKadGlfVN2B4uGIJ/2kWGGA9fambK1
537jIZkaL/rkHQrORGnuZ7sg6Ji4Le9H2mqBlI99/WJ731P0IacyZNuK7ESsCnXVL+/N7D2OjJEX
m0T9OI2X62jtUthqWvkg5LOVFPSzACrsPZlwtkbmr2r8xtMZoYZ1SqavwfnRi2vVdaTHY9DH7eLe
NeaPOnrx9CRc3GYJy/J2GLgR3fjaLJa1W+ecdSLQJiscY++QpE+Z99Fa/qobzBA9Z2ggoEG6FNIO
c6GZ9aNmo/GdFZfQ8zg6tfOPOBWbUXtIyiVIacFs7cuWb1F2V463ec76jh6UHmfnmS1TpbbSDbWp
2q/Z3mWJsW3IIDGsnda8NoAH2fzY92rbL/Ha6dQaH5VtZB3HQgbS3Qy2vpM+R5X41N03Oz0pLNXY
G+PeGa9RVwV0RQXvKKETvjKRZ9JDbZX+6opPr2Ww8v1VxBlicjKlxAXL4a5QT1rHkmPISGRu6Vfn
DjJGNkDPomcxyJZZwri5y3S6+LZ0bhOylRu1kOl9U2oZ4m2NBPCZoKmHoquIOtDPjSL+u0b4RBo6
RMBHK5+5J4o1CS5u990WzW2BKFVhdJlp7V7RuZT+3vH4Xm2Q/fiUtHeddSqjal30HzUCiNKedll2
5xdx6KoFKbv7PBdvsfBWlboXg3k9+v2qGemq0hJ0xN+gYA9YAq/BytY+8yRxHIeqeNFKdUX+QmBP
T0Nz7adwBnRnXevrpP6q8BBLZPuygGjy7VeCGJbOD82uvMr0YSW105zczwMzfrKelgdLHmKaDMAK
n1lRXBbM1J2MEbQ3smOcjldxej8UC1+565+E/ykiZmJbbVi0kPB+9stbDTGakCRQZzdtt7fjiEnK
3RSm/uTP2Xns5Qal8Lkp5I0xm2HruI9ThmtBx8Yf9q3O5OekQ2C288ZYuO4gG14VbYqEyGpvWE1L
f0u3v8H9lTGwPxaLvfZrL8jT5m0WIBrsY4k6Tp+cPPo0mudlvjYu7XD/OVeHqfpyVbSdPG1lmym3
5Oi+Gfk+ldN76fcHOamtYXMwKudqifo9UONRToIpII22Q1tuFn/aaYyTFbzaSadsFuSCpMSym706
jDWB8Mm49+Obqu02IvdOlsDBPyWMvZWXhpzG23uoZLctnGxH8sHBktGqsJf9VEIh9eFMdHKnGye3
G/lxEroeyDrGKQKeUJFkqxbmUEG17NqPJicWnQc8tq6gdK5H/dwqrhHaC0MjRBwfH5cDta66Q9MB
PRIj4htqJ5JiJTBQXkgFogmWNt1w7h+L8o6uE6z7UNjuerCpYqnyqJ4tZckY8ORmYxhIKtHkKxWo
4bWvvxyNecWX+BOLXs/DaGG0N5li4tYJdWnvVMajaN5oxmfXbzsQV5VV62VsNtXicOzOnEBqmxFN
m1NabGq6WeLpTHIt2outH2FhK+UG9m/QzgxpzrhO3XSrZWq9GBTlAVvXfjmXol5FvbVJfH7PdPa9
TfCQlWM3PD3bsbppvAjrBcM46cv8tBjfNtlIBNQBQ/j1cOV6zbn1YBs4bxagb1lSRUbvGgvPr0FO
22LS70aPkDHFZYC4UmfPTgGNOp6yh4EOjhOxey+7ug+sRfvGZC70uUBR6z6OJYOlmS6YYtScpYvr
PccyedDUV+s+ZUsTVP11yoZ1IjIYdRcOZI/AgvToY0bGmQdvlVby3Ser5dpDcMx04WKTv6gfmeY8
kFcON+JVQ1XROp8Fc6K5mEXYtIOgI9NP2PtvC+ne1qSn+h2mabm1z/WjuIxbtX+TcItGMx+j7UUX
dFN0XKr0gaTKrd8ZgY+/cOgXZPQ6cjO1WahK81VU1sdUGeFwAUu6vidEL74pE3HwjVzfacabJdwb
6CLHWaV7yOcbve3T9WTy/SfqJsfFuCCgWMZ+sEAJGY36wAd9cer01e7p24jrVX5RojwmsIViaEyz
wkWoC/2coNV0h8PxV9o3fN+YW8bsqdN2WCdquhK11gaZ+krpnETvH6pOfmUSt+r8zXFnbiJn18Qs
jNrobM/NVTtHh2m66SrrNtOaXWOdZg689jjPE2wQRqoFp3Rc/gFXz3384Q3l2my+Bts8Oe4YmnB7
bW8gid7b6dP7LNS6ol1UHNwUlduEVtrVru2qOcieCn1hmKRq38TDVxnVu4UpyZzbYxalVymgd9FO
4WJOobd4JzYd6Fysvj5UcqANGQd0rRInyGJy9sVE+oaZbKJLPmLajfue88gvxCF3NcyTNLVpXUJq
4zEj7LqrTjKxkq3rTSdTiX3u0i6IcV3Zy9Ejvm6jxc5Lole7vmebFsxuCuZTYdjwTDDlB+xj494q
/RJMxD40+ciSTXIErOo+Xmi12msL8+kvY+6tkFjedxMTmrNCZfI1RHzVmWf3oefQhhnu+CWFRtll
69I5/R4ozwprUfc/BtmtxGzMGUXcwcy9HnnmSss+SYujQbeWYWvGqRaWXp88iip5dHV7+p5FKgdA
ACFPyiiss51l8r6KI/9GxLP3Ssy13OoqE6Qz+O47tDSg42bj1uV1tOibaDB4ZPyIVpZVx16raWSs
AueqIBaXw9I1ydsrqmc3rvuHlu3guXbT/GjUXhTqfnNjpvMSxJnth0Yl7xNbJJdnhwWHSs9tHL3m
vkmMgK0TZhm3JESUhvs+suwFwSBUxAOT1lhHcTjrMzsKV4L9JPYJJw2CFezqYWlIsLFx9jRydUwq
p9pwllZ3S4e0O83mg7Cm69zxjkD69jpvDfVR+xd0Ks4P6eg+Oewggjyuu1Pcy+k+yibrcYppU8xk
YHPVjH7YZdTdqSF1HQylNovulBbFsh2yFIxDkjbvDffW3L5Vpfrq1OiEKusx5oyv4kyCRzsrmfXN
ra0GwpVmIjx9pecYNttxWDvZfilw2GqAOF/GOhOXbbOEfBmhc4KEtR6djAmQEOMNRLV8nTN4bIzC
XnmgpaHFsRY5irTa1jniH87stzh1oBfjXSOSq5wy2k7RPdDp8ySdc7kk6zmz921mviJf9TZlTGFt
OpfjyvL2hR89TnmKE3Bf6CHxPidXZCpEJ7+rRfHlWA73x9jIwJbJ4xLn4CFO/OgsoxG0lvXs1+NN
a2gfmsm4JZXBwKYbN/bi37Zajl914h2mfDrh7kz2Wes04ZjykOOfuvFLDxyu9dnrOPqVW7cTIXAX
E3bhf0+V1K40iq6oGLCK8kEWhRXitv9cJKZ3Yo1/pcVtUF5QrjGq+jBzefzn0v+BXJ1U96ayVro7
7+tu1Fd2KeNNbXrVATXtpdwnMShSOa/KQk93jT4Xh2SKp7U7WsZdPddPcIC9ldvlN9ge8aSPs+Tv
a8NNETFYwUdvg850brO6ByDMBdCz+9xW3tUwEnFtJTjXe1b6o2jjYeOVGdbjIFdNNbRrPJjO/cD5
AGXqnlQ29jKEyBjsP0m2JcJythSATuc/DsmIjiRRd6Wv7+uW9tqQj15EurfpP7jYxlA7mWpzw7lW
LSNIlIkdXmIgfnnz3k7p3reN5zhRm4gtANtE96DK+drtu48kuwzhFWTfmZ9QAsHco/p5cPP7Rk31
1i9yG+fcumMjWu6qxLvNUo8lipnWK9UZTzG3dDpGu2og1tOX7rotk5JLRn6ZlqA6TPXxeWjjj4pT
e+jaZpt1EXD20iGmh5CKdWBVr1tSO+FEmixYZsddCQMwkqzQaTMPoES1mG/LDhi0ykqXhplpZE7T
eG03xYC2syCMoMtPRkasHI6gT3an3ScdC98Ok52Qyy/COoWEwMaG+lfR6FmQLariBhvjKjDH5SnX
CalpysQAgGehpUeE0zWzobM4b3Z1bW0bx8HsoLd+QKF5n+B1ZUt2xt3u7Cek+lrlctaK+joZOB/n
Wa4S4Z+jJXY/4ZscnGUAxwEscSRzczKX58Wxd3M+HzMoL4FWVx9/QXn4o9Lj77wCop6dSzQMd/5P
hDinbccyGVL46fPyopqcdq9aWXmU8KD2n/FlMS68fVbI17bLrjkztoaQGxNLf42faQMEg3naT3pi
/hXf5Weqnu3Bo/ndO/uJQjeZpCHPpqaTB2z7K1OCvsVOex8DY9uqBwQVTvOajO0mUf2r3msAUiWh
GBdvlZUbVyfOFUIdYrrtyDzIUV6Jcbyv5uGvBGo/U/0u79MwIP7iaKkT3PETgyX2NaeGbISHQmc+
tjLeulh5AsoXj8xU27+4XH9kqPztcsHNxLkIyywXj5o/0kDwlSIWTogLCWi2wmjb3hSr/A1YAmNl
+zOGq7BZPqy/8p77Vx/x9696Iaf8jtDnEajByYSIoWq67aIbW8ePMZ1U5lbHKzL895/xX31EqECW
bvMfMsefmC7O2E3pcvmIafGc5jfEa0Tp679/iX9FpsFR2SDc0XWxYfjpkoFkt3JweQkTFZw2lLAE
/pIBav6ZsGMjtgGdN/FnFj8/WNXkumME5LUqHc1YNQWtjCUaOB3FnS78Pa3EfecTmtGZx2EYQLTr
bKBGOX9hOYHn8J/fiECkQaKm9esj9dP3WaRK5sq4LK6YUJVBuyqzLmTG3U7jvEpk5Qdt19GeEbRR
mYcBHcdULuwhr+t0Xy1P1bA18pe61s+lV22cKtmjcub41pKXnj4rbec1LmGwkZpdrulrt1M/7Jk2
qn6fi/uh74PEgHxivIM2dZEBXshOx8hIDi0/HcaQpvKvpB9vU+uh0sFseD5pgmVou+VOS8jYjomc
yRrE3MYhxWkHGU+oqe7OkRit8N4o+kfd6I6xLT8TnSmmTTik6+jdSnukEcW4rltTgwGRXFtSfc2Y
ooSdbvZBZveC7wSMUiqPeV1fOC5YQRfekfE4XyXJj9Jyg0Vl22xJt6izrl1IS7TBB6OUe536PTXG
1i5uiXEJKo0xZS7Xis3sPJab1NU3DUHmffI8QEAQBuMry7J2XlUEow8jC+9q3AhoXJ3qVlEjr7F6
C0uZn9qCALBawxzq4jXhXXPwnUY9CpcZwhsWPUc5FqEJUGle4mYa5a6BN0KtLVdjLndt7m5TNaxh
ERJ4hVqvjdunyTJunCh6i9vPan604u/LLrld4lvC4K+BEp41/gEf7NUb4zx0i5JxbngdLGNTDOjD
nDihCmh3//4h/Mn8/9ez7A835uUJ+t2pMrtTF7W1MFaumM/eiAU469s3YFVWDfOLr3Cv9AocmMEZ
RkiXq0Un0W/UCV0YQeiDwh3EivTGKkyywf2LQ+hPZGEelYvkyOMEInfd+plt2Wv2OHk+vMR8WKab
tp9YFerxZ5/bGzV06Sr2/b1RTusxaz5SbWJPlBhMLB2xVVY9HVMPWMsTjxgO77Ju/kG6DSQwNk5W
YZdbzV2+l2R69cpkZy440FEprszWODVx+eGyelhpbn3wveIms7wDkphzPy5/oYn/k07ip0/4szLj
/1Pw9Ouf+ydD9u9XW5B+jtWDKQzxU+WypFm0eUoN6aqhWTmx9p2VTrsamaZxN9yIwjsthXXVVv15
qNzdBHsv9Zrb2naZ2Ka73CUm0/LYi0N62tlOe62ViCAG3Xv897flr4LyP71RH3MFFEhEa7uX8/R3
tyWy10kmNvE4+tK/DhrcQwSHQUyqetD6JK6pOo/RwUY7I61u6dAVcUHNCfoKGMGUMEO6r9Vgh4Pj
/qgZlJ0xX/Ve95Q504NfFEddi6uAyWDTCFKUVfUjS0CCNT9bDvi7ksLVbJolAhRJ2Pbomy7uoSXx
bDh+v02n4T4y8cCbxmd/8Xed32/GKe3W5ZgAIYnudmbIDOLIdK/avEj2uhnBFSv1b2mynIqsRvwV
f/dflDlSlKjViLYuCp+fWMlmjmYSKRrVZW0fzCf32B+Hz/zBWBfr4qp8/vXa/Jcq/79xL9ZhP9N4
/c9c+Su6kur9f92/XwaHWP6eMP/PX/+NMe/84vim69hYkkFTQQ71D8Y8ZHq0biaOocKDlIoy6x+M
eQ3KPJYxhg8T2he4214sA3+jzFu/CI/oc2J58R53YM+L/4QwT8f6h77EsYRh0sBCMMfZFlXTzwam
CIFb/A+JFvdiBei4xGajBZGhVUA9iT0ZgfL6FiFMghpI4Bx8R1kddJ6xKrpGTV0UGNHFGgSiSq6q
3Mg2HnZIt73tSxJkuoQVU9kxoGbKhbCQzpW9c4eK0Y/ObNoo2zH0cGgT7z6Ws74t68gg32bW9a+m
sFr9aIu6W8+mXmxiPyluI7Nrz4OdDB+dECW5dXm1r6uSSGRwiqPUIutxKED7gtrtls1kJWLV11Zq
Xfb+MrnVJrNjs+MbVb8nrVt14WDaXZ1fVXnZrxO9Hx+zpJ90VppiPhEyNT6WSDFp6C/TclrLo593
A8STeb7XVZKhC83N5OzAO70mKM6HESLqK8fXtGNH0C0zQTMY1zXIO1hkPjzAMKweRJlB+2R9PQHP
a7j9sIAlFaVr3DgEqba3Bi0G/U3dzmEkFtTgFelyNq1Tkxb0diJ/UrVKtaCHjI6peJRykhFTBBWp
8vuCLGFbqI2R1s1zTZz9YwKuhwUklG4wMWCzt6b15V2epvqPAYL0rlelszenuvhwvS576AgDPOSR
N0F0iEUM4QRB7HGKMu3eFBEJfr2pv1S+224xmbDOVVKpOyFxU2o5Zo9lo7PXqCOBomjM8KwjR3E1
WpEo950Gp2MrBEF7LAHk/KYlc2Oy5yV2dg0I3iD0HermXu+kfsr6MjvAztQflkkpYNnZKa9nTZ92
cU5a2mwP+kvq1NPzRF7daWrYIkHNTFdzlKLs9uZBDzGoyDags+mX1uvJnolRwdzL/GLrqS678ltV
JtvcXLxzkmjZty3reJsY87ySNNcnBduthDzQqRNdbHQPQZ2XUAoYyVT28Gw6dfLMchAYXvcizEky
Ne2EXmZfZBt6LVeuxBMNIu0uWVr5Uckl2qGsnpHwRvFWK3vvLk/yy5pGB2oiVKMMnHHqH5iQdRno
s+XQXy2CutFHrneoWoHa1B7aJw27rCtM9LKDBuq5bxtlPWWGJyGH2Kw9oj6PnlQb4e3fDZSl3rKD
JqmaN2esY3jtsqr2rCDgTtatAfrrSQ8/lyZ2znFS5net5cgPy5m5qb0hu3FE67Evc8X73I8utF29
ByBs/OwrUzkahGbODB/SyxCzUc4TamLtgWmVVeN9qCrvfhjKG55btxiuGiSN7l5fVH7KIxmfRSyX
o3DT+GA7hToSUijDvtUuN1w0m8+zhxiimUX+WSMSgfYgWeQHQ0xy5XbxcQBdRXrvfywRIbPBTKbx
jZ7p06kv8+gW0l+6j3trPI5GVmuwesYLt2fMWKyXVtOw6K7tx8a3o+e8NM3rpNP6b6jO3al3pQ35
I8VzWzcr91YnotJe+cX0WReG89T2lt78rcX9bzG96M5s3Hv/XS0NMXb4kO27+kMZ/ccv/lZFvV8s
JndWadii68Yfqqj/CyEANvmReLSA7lwK7N91Z5cqCnJx0ZZd/Ppdauk/q6j5C3WV/+vxzOHiZSFK
+09kZ7/aEvyzW73op2xTYOujQ2h3+Js/datwLO0Z+A6MOIPkoDyDjVljNbex3apnvS+gvMfi1YA+
Fi6GwTjoeN9aEz0sRc38OrDhqwv04+Q49htVuvVuujy446zQljv1rZaYZM6aRb2W9uAgtIF5FY/Q
MQuHRQUsywph1OUQcKLFA6sW2hqWaoStCUZeuoPsM8dhpDT7h4oQJD0HvuYZ8TZunKIIsItrNwJE
jVkoxkm8U9J/lJcDp8aB5lBgpRZmy4XVmZrzRpOwfwoBy7nz7skmFgFWH5BGSCVdZzbzU2RtXfYR
uwh+/771tGvhZNGB8/LaMmt0Ernhn4cmJuT3cvQNheJENWs4W8A4gUzUEoymj6zAF21YXQ7Lkams
KucvL2fmjAqkD5UT7VpKNKcsEyjZpB9tPn2mtnUaEvOxLqdvYjZPSCVejXJ+ucRAj1O0K6rmcyBs
NEiUloaG6EvMOHQZJugVNsLRX6t+uPGApILUnVoI42D1Wu00q8bw5pWH7Q5MC1TsZN4GSSEb7AHS
RyrxG4vK9NxnUY3lh/uRzHW5hmMEVbJC72LlJW6GS4S6VaoEjqMVr02lq9Ay5q/apMgUl9ICydCH
Vx7JlUa/hUIB4UiaSxRtKt1JuWzYa0FzEf2VY2kacI8+QBLyo9U0g+1k49wwocP0xOkEBuggajhe
zuMUzdHVIiuCAxvNJJ5Yf6tnzkK7ukBDEsfmrOirdTVVt/booZfM7LdU1hk9m+4Q5OhAPElq6IoG
UGdm3cqS4x7TiDFoaatClpZdmEAY2Kg+XWCbCJjHg5fsCd0S3E6xyZa9HXYpp2yQmeyfWPhw65Xw
XBt95K9UqgnaAc5+30zvnXRyxiTNDEa/MTZtL+9HuzxDv5FIyLQinAYkTlLJm1Rf3itpOdyX/T4W
3S5qdBEai7tvbHhkvMEnR4Prp4b+S/ec1zGdz5E39gjKPH01pr145m5SL0uid99SUyTPGu5HmlS7
DsZCOBjRLehNFPTYCV9P+VLt3MojkqFQr0bMLhApBf4CyzyEi681LCRM+4AlKkCsmvqVp4Ey6JrP
E5e7TcinXYJGg1zZoHnc4el5Ya1FlLsu1VZW7IuT3VptuHSKJ4MslSKI7XzbdTAEaidhrWazGGDo
hs2cAkZIn0VkpvtYPMfqVLplC0PJ7NZeRCJzAxwfVgmHhH0RidTJnF57iwHNCsuMt0Fq/TZr0/5K
GNWnUxukmPcOnkPmxAlSVQyQsPMCh9PGqXaOJoLS9uxTlvnnukRyldOrIosZ0qukHV0ac5GG5B2N
LK21KzAccEjL7WD++ePK6zXj0DtQBvNFvkx+e1igmesxDPPIX7p13mgulB1ew7X7QznVC8iM+sgl
60c9KU5GoX07DqiwZ8avBTHRK6iWBDnXWw4/jLG8Fftq5+RP6hj5yKMazX4Ujb+NmhqWrN/AWXaq
bY1xy86dJhUsZgo3IvOPrMSHTVp3WydHDzfm0XuVNCj02oxHFkrxMgM0FP2Ekm0B23DKvtnGNo01
nOtjPfcT+hzt1s+8e6sDcmxbl0dRkd89anhzl2KBwpW2d9kA27u282NV9P0WhVEVsn6Pw8kT7B6j
6KYbMTomHvvbSnCT5cquUNqiJ1S3tj7XwZLEWVgv9j3PwROWOKvporMYWF+FvjePV5Fr3kQFccL1
aBOUbMRH2BNJGJnxsG4mb2+IvL/pW9ffIsBzT2qKoJGWw86v7Z2TXgw5k8g7cfkNnuiWrV+M3C2y
3GJVmXV3iy7TDv3O3vfL1HLhh+o+L8QpyXy1Rql3NHQb54IeieiMPe61nIrsmvV/A00fEvViN/l1
3NsWF238Abyn722DbZHqq/ETkYKJAnVothCCH03Y8JnF7rGLoy81DD+aubwZO/801u4uwSxF1dgK
Q0v3C+9VTyxAc+g1Bo64gkY1dBEyBmU8fiyiS0Kjc7FP0ZM6GDXRHSRGQqkWP5e+itjM62gi3frN
y8zpMFcZDK84uVJV+1IwpAfOYHg3KOrUqYUOU+RLDV+qh4sTy1NjWugG7brcZjTBG1BSY2P20riu
zJTBuHb9cBwJukkmkH1UgWpTajpyk2iB2FNwTsQOQwI4AQ9iDgHc6gGpJzhlm3JI3llesp9HWekB
+UNBSI2d0UyQ9LrlEDs1DFLII20QNylJMKo2rnC1YBO/QHst1UTKYGy+mug4Q22mHsZ2RKgXwxaE
t1HbGbIkYGy2fuRRWrw20IxYDjT3HMceVQFx4WRB+CtL4xbd4msN+BEsuXEL4lVw1hb2+r/gUb9c
fBb+hv5cjID/Z/Dofvgcyo//+39k92fc6PKbv3W84heWipfdG3ZtQDQCROrvTguu+wvNrsDri6bT
vWBK/+h49V+ci5U+iJIADDTJ9OEv/oYb8UOByQ9OhmxkHbph+z9yWjCwcPgZOdJpoX/NPMETDJea
nxYHXtlWBoxGuVJJQebA5GQrPsg7Nk15YBpkU2tVSo8yPAyqe2mVtjbv5nY4YBXxOmra7Uzg7Wz1
qyRK2U2pldMnW6uNi9Cb5F1UTT9qd7m2nOG8ZPnRitPtNOR35SyOYCRPGYQl5lrzVbebm0y6b1K1
oRWPp7pzNrW0r0yWWkE1dxscZ8PWK49pM1x3U/3qoZTcVX15LO3hYVm6VW5E57wlqKJDIZd2N6m/
PCReudcN/+CiLir19s7Qoo+i5yVzr1gjclph4n5v13ABhFVv5zLeFn2zI6ZnY7rlS5nU50L0h6Ix
CP2zrlQvtnU5HlWaseosQZY09472dm9B1oHhgtTKf0gddZVI92zJ9plqepP1yXelm6eykefG8e6T
3GRx128kauXASNAj1qO2TvP0laFia0LiK6xlpwq09Z5ZHbw0OaL9Xg+dTcEzIVG7uRHiG3krJnPj
++q9EeZJivIpicotGSzXulmc2Zau2ozw5zb7GDFIrBs63AI6+IBqoSON3CkfYY95a8TzW22aNlAi
zXDJwGZIMWSVe8w6tmEjIIJU0c4eOxlMmr/SK29f5vF+iBsGl5IvXLeOXVscycNc5wQPXowL4jH/
Rnr+3bRoOepoAyPwXXb2C+PbypqNGx9a8VgUD1qNqQEURs9DnhLjruvZrANKbcPOE82WZyB7yrRd
Y2sIAeJ7Q/Vnf3ZXFvYDOk1kw/3WLuteQBhG4zNPCsdja53Wzi4eSPbonKdRTN+mYVPoCpjUDP2r
vpAPyoHKIixuNC+znZUdZ+9wbL+SgUUgLgPwQ9p1LOWTIepzJSJgkHkm4FkjRsn134bKZO2Lz5ca
j14y771I64Ks5ER2rLNl0nDmoloNYiRWJI+ivdK4i3CS61bwP0vS5qw8lECnYWy7aQBNDldBjdIX
p8Vd6novy5Cf63i+WWLEtWU9Ddu5s78GszM2KZkfm8hvv9H9It4dhRY4jebxrXY2Xp/FXWMP1zZ2
VMFcWTt/8V6VkT7XMCHzWW7dZNq4PjjlxU0hMzTuQGNjkGPdu8utH1uArbq10dWyh5J5xjXkoe1Q
R2qav2vLyA0TL9pmFOqumc61b981SQHiZjw4/Ky3uxcEketyRgUi8PrFeO67tujco6U8UMjWRee9
aH68y4wRM9IaQpz55njdDqX/1lL5FoB1DZvkqOblrhryhyqaVujonEDWiBFIvEO5uRcLi9Y59o6R
oN/otF2UeQdhOlvfcKpAEA3Mabw3ZvfA3XDfSm8ME2HuHKvbj3I+No46lMWwKfyc8iue/XEYV1C1
Qq3wz9pkHOqs2w06ilXRr0qfhUueYJsS3/4/9s5sSU6k29JPxDHm4TYCYs55zhsspVQyg4MDDrzN
eZZ+sf5Cp8z+VJZa6r7vm7KyGkQAjg97r/Wt2amPblxckk59gJ5zWMbkutFFCCFEhmM53xFF8eqU
xrEO2pshk+djkL6rzeKCDDrU9F6UVgPPAjtvnnXfxqQ6aa01rMkNxaVKgXHU+YPn/tEaeG8uurhx
Sm5j7OorDwk2BgqwBdKPN/YwPIpGw6+NZVfgjGly9bqo4j4IClI3eFMwE5zU2U8y2FVL8Yiy6NLV
5o0w1DdIEA/ShPSRTYDjfKleCXIGe9Aa6YZym3nU4DUiKLWPpQlTg8Txa+oGLzW6oj1cSm6iG5Z7
//yoZ3fyb2CBzpFPVOqz59klBgUL//5Kz5Pkzurq505TqJkQH7IjjOOOuVn78Aq8JERbirs2V/cm
+qtZgsVIhOavnTLv+bAbygjJeJd47ktt9yYIr6BG1RVPO70s/UNju8B72+K67o2PRZQibH3ju+FO
D5kOVWYIRnUsVHzoZok00TA/KFT7t0GQC1TePqiSqcZcAU6BmHi85s4Z7ODV5a0LMGndW/Qhgk7e
jTWKAqnc9mRVhg4yQsH41y2FwcfHB9/mTKP+Yq7mpkU4MKF7Tx1j3Cy1+VAG7e1MdWBrFdYHWT/D
fjLkXTBrO9fhRVQ2PgSWradm1OVt1vp4o70sO6QyHzZx+9pWPl6I9DzH064pMd+GiVNeGE1nrAoi
JzfSdOSWOdG8bMxErqhfXMOyaFfIIoodJu37Mi+eF0NhRKLGggob6krVUP3Nl7dULtWBHMrkttJi
LNKlzzGjx0gk2iFyzmdCK5vSnZh7eVWaRhyZU+uEwXhGGfqluSGscYpKo/KOAWTHg5zONuAGlDJK
lGmrcClTs3IZlTM1ZVFYYp0P6dmT3c7Hpun3o9vnJ7cS98pUuDEMZ48J3l6VWsIqOHmnOIHnmmaT
sRu9rt6NJqlhRO5++Ayl7ZRjrqpV8WE4GOw7VRZhpTe3qdeYH3FnuGHdo2uxqBKtulxh3l6MZx9V
9LbCV7zOgSaERBcQXrxobC26wb+2z3exM2Sa7frKvXC7BlJN6w1o8GygKQKJYlMDHzRgkG3KBpZD
vCTelRqqOTSGujyaZaFvepkolIqFHRpJjIO5pRi+QXkP+jgb+ZItem+OHF4Cwu3XmYcdrnG94lRO
ZRcusd3gCklAB8j0ufBsLFRa8FrWow4qvcEqTzqqoBKz1VNovEYR49qN82RfUEZ98JvguXb7TeAV
VaQvjRZZdWxfiDl7cXtb41zdHySgtJXvg8+vrbZe02tCXMwpMKwEEBumBHzibLv6wBds2FTyFCxI
alMLD4LbTNbO69g5jfBUbAr3sGOyKkQcaF9OnoE5Ow5OMqe/pY246Iyp+BjGygr7BQPN5MRpqGe6
c+I/xxo8oKleautc66PEY3ULHtFGPADD4AgucZqa9Y++qIq15Zu3uQG9ApxiHPamq6+cpPrIRp04
oRyTS41uqvHhr3vk+CGMms3dMJQ17SKXWK+zNX5Z4qNoZHL0ZvyLbJKO9ZDdsgku11pqoMFsKKUO
efOG3eBspOxuBZvwMHcm5I22oECFv4h8EfyzemEGKwrFu3EoPpxMv2tc+zUxq8dmpgJltSS0Qmqn
etb2l56/8DjQHWcuxas8GVpmFPyXfcNmJ0hOxWxdVwYVIhq5dFta42kmJ7bwYMnSuY2slFSRoPIQ
JBTi+4RaZm305q1OwXLsvW0a+Mi4sK3MmnsoGIhATlS7TjL1AuRSba12uXYbzr+a1fihBh9o5YDF
xVPRfOtmHiXiDA39VVVGCWyisGmUdsyD4KlyZ4Hf18D0lLGZiBWb2M6Bd4JubOUn/guwNpS2qnbW
PSed1RL04CSqlIwXEDhbU/rbKclOtTYV15U5H70cZ2rnicvqfBoHsvmuZWw7DNXwToHVJBoPRqBv
buvyos+sJUIyTN3YwJLXmz59rjMlSs3lvdEP1sYrJzydTrqVg7FL4zLe9K656+ockVxKe8wgR9uQ
Dj5A+3u1GPeT7PH5UJyLSr27iivexwwEAF7GfA4QffXlsrfQlJKAgAal8DEimE2C+Tdzhkj28r1W
1V7gOVk5tXMMrBpFWN4lYVKU2cadeNrSwkFJLXTr5pQ95y5IrwNtmqJEUgp17HMiTakmAO/D5Zhl
YC6MOmV8o1Au5x4BzHjW4Oc6Sp3GAoPj1jro7CxNt5WmiutE2lBVzg353BT2yvQLspjHUt8Ww4CU
za6fE900t4GXwb9y7A9Dk+9xp5vrEUiTqtvL0kzwJC8D7jjpfa86/9Ueg3qviH2k/lClpwB6QpgO
QXOVLN03zUvSNQIezMtCYRgukyssY3v60zNl/Ool7oYbOo/BOYbj2HXWKauym3HW77KcMsbIDhRA
iy+jGclRgPOOid811/ZAdqBINOgNQhxnGupXWuo4bOH0+aKmTnXUAhqkTNB11C8mOkO23aGeYA3y
e/2jCqgvJ5kH6sLU4zDRh2oPHXugxO26oeR9HWWsXauh/hhbdDJtR1PchX+AQvXUeia+f7Y+9DUR
uKfFQweEDJjZvA3MFoO2aJ70zijC0Z31MIjjx5ofCYt5CLtkFA90i19sTzx6nd/sBnhddHYmEZpu
8WOm4ry4zYdsJZ1LOz+1Rt3dA4QgadUSR/wZSE9L505rF5vbpJEax3h16NSfltl4r/v+Y7YGZJCx
rp+9m+6q94wHt868tZXizvGWCyR5yWqYa6hNmbVzFy0/dQWiNisD8lE40482B2AkS4SiUm/fE4dN
OlPyA9VJzFilxYaNIU+2jX4sM14bfQzGhgpe+2Y8Q65QNRuj0jBVe0FI2LyxQtVZbw1RIcSfoPJN
cHZ2Pgyq6zFrjHU1OFdpRWerHOBv6N0gI6pY1L8m+c1qvRcZl0+cZb5BaiOmZagMlry02hiaB1Yl
105GM15npdrgVsCmPBmc3hpOvcY0PpixvkUse5Y9pBsDd1bqmW+F1/wI8gwTi3xEH9Bv8CUAMjVp
wdvs2HetAio6JveBow1rxynKMK50FJui1pg9ccIMBmNHJcNEcd3C6J5bB+UM7A0rysRKN54dF5Rc
X1wrVb+hmiYnpKRu6hRjvdEzWBymnEl3c24lNr+8KI8J7aVjrMNYGNjyYDCkCm36FJJHt7ucOnM7
5zq6RKu51brynfJmt2PasA+1ae2QoL4ntvURo1xNVXwviqANhymuLvVOyZ0ymfMbyFY7w8q1jSVd
/Ky6Y7jEGUCXGkVf7K0ZYEXbZ2OkEb8wr5g1gm3ja8mJnYgTarAdhwX37MzwX8o6WC9JpzZpZ6ko
NjwWrcJFxt+mNBEoKRdJa+E+o96JPpSG37Jo3i5XuQonwwlgHnVi3cKLiiCfvVBcbNcdVXcOM9PB
zYOEDHL/qtLA9JAy/EPX2TZgB2KuqtIgzC0r1BL+5Dilgp0O01PLDuZCGm2BLcq5sOkeAvCLzfvW
oHVZOdpbMZnXOqQ+qwVxNYkuTFwNdILcD4CRKCVn3TqPh4gCdsHhwDqNuXfvV3odLljwcPmxJqkk
PSy4vjHycuZWy73eJD+6rrvQUhIZJQ9LFDjH0sm8b3yIC3Omnnq1NJFij4vcgT3HoPCHMNgwZDvB
FjpJaGswJ2SWPrFh2/lxFQYeJo5gmV9wE28ngzNJMH1HZvgIXT408jGyhHGdjrwerzz0fPiQ62AU
plAWisg1ix+LbJ+rGdn6uVU8QraExLB2qmEPpeuQGbUHskY8asmy1bCZrUCbO/xU/9UsIThbXCML
3qgZR7rXX2uY1sAsAp3PHmMXnNSk35Qttffa4+AixiGapm1qhuYkTsb4ks9PDuZ6j3QGKOfQTvhQ
9R/DxJiAS48Jv4tDr23gH0DtFYI+SFpqEe2DLrSt5nLE+VkuGJ1o/0FAs+l0E56HihvTstpnmf2A
KmxczwUuNjxmNMlSSvh25z1biY1fqYOlMK/BplwVQa6tcjc42YQcQgl4VCZrbBNrwbpfoOIOwvIj
dsGCXhmlqmB02ggcj7ef+Dq2mR63l41u1WxvwbWQkNtdyVoUtLY1OxzcIdumi7/cqNIZD2blMBVL
DIdKieS0eIo6eBDXy2MWUwmZTZRHS6DKY1OSgJR7i7ap/c7doWCoKWiKMjhqTR1fTjFsFiaf5tFZ
oIkgNuo2Rt/imw38Srvusrl6MlMXvoONknW9+F52NGlZqzWanZjOt9/j4Qoe29Qn5dWRGY0Dzm3z
XLPm+SohLKQjKXNdEv1sy2qf4gfCuvfRDXBRkNrQz2E3VAZotyoKskKmVVQb6Kfxs0gogOq2rc1d
6SXfRrGcOJBQ6MFwbDrsgYzNWOBiqxX4sSD1MIjpNIHneJ8m5dVkSS+sJlxW1nIWJlwmqj0FeXOm
2HcCTX0qQ1OUj65R61GB4nUdQ3DD3XSdNkGzTwv7R1U2dCjq4kJ1hsURMaXGcS5rGGf+qJ2Wa6nZ
B1CW04H3h0W6o56D4eY2dYpjkDoP9LLWYnROZrI8ZK3yMH8nx6HHkN8NGVcAqACOrFrPNY8gc2ec
846MNB0HgFyGNTPJdgHT0E/AvAogKYXcoCZ4jScK1mxryITtRBIWZtch6E/kuiiHK12ji1tU4sbC
XD+35cPoloA5LUCn8JNqtpL5WzlIIAg967CCogrYpbdPAxzEpzz2OvpL7F/rpEa23KVRWozVyk6o
7+mCHL6sRMQo7Cv8FuPVsqTjtWNpwGpGL1+z+9zPncfC3nWgBuaYP1oSwVXWMOyQKjIIhvFBW7os
slNeyEAZhYWcrnbcxDsKj+1dnOnLnm4DfqW0tW9z2aTHWswPlcsxjzn1uR0cNyoLVYBnwZ1nyOlF
jdoNctCb/9//+dz/OUeM/J/7P9u38n/9t0A2/Jv+z/n//Kf/4yNrssklo09j+fzlHFH7T/8nMP+L
1fEsAKZwhFXwk27Y+C/QoBZ6J9tAj0QWzH+6P2ihoCo72NUCNAYEbdj/L3qnL6YFUos872xl8lAN
I3oiqOVXcb7rtH2SZ3ic5c9wAqLgd4zhtbalJndn/CWk5ayd+o+26l8XM74kaZZS2F2NVyiqkpsc
asn0AD3u00v4DdX7V2fd+RLwnOmyEDTm2Lgwv1xiLptBc9t+4Wx3qGZixEmobjdFtf/zZX4S0r/c
y68X+mq/WHxfoY4iK7DMtMMgxcNCl3y1UBgQ9njSy/kB/HkZISbbYrPcYvECX3Suo/AufmBo+Ihj
YmFUB2R5NP3bJtVOVYL1NkejGJTjdVql+aEPACQYTfGsa563MVlLVgW8qs1oIx7Qz1501o41vHfY
MiYqK9O+5Li60bSYukhgHpN8up4yRBL1Ek5LGomxudM095s/qm07L48m/96pug0a9R3F221rFJTG
7NK/ZkT34IhGNgy4laTLI2w0p3qinrGfk+AJ5dY9B5IrZ2hf6sy4n/34wIHyMh/TR2uhXKAB6A2F
N0H5jOmlFt5Gt6v3ROmUYHJYA7ovq0gWbC8rCxKiihXnS/+HIaz7eGS35jdnvODPiPOqhYFFXjB2
ru7aFvJblaiTN3A8zafgRQD7cUcWHMPv8GTL4r5REx0geJCxrT8ubRZp2WytAhTro7WgkYX+1tfg
RmkNLsWyGkd5sIVgqekIdSE9uizOvvoSFNjsPwXpdCdK520QCcBYKzGBWmV9hJr5w0JR1bnufm4g
BNvZDjPrhxmPD8hvbjgrXQptPszK3pNJwS4SylXQPVJthQLs42i1Ym9jaSiwRIfUQcuNq9lzXkQB
ibaqHosB+xOngQsRWJet6DhFUZEBDfA2JdYGqcRaS+L1ohQAqCnSWm07pxjeUr0gM4WyJPKtsmcN
Lr+hvj91WfkI4uHHEGhPeuM8ysJ8qex8a3Rwdp32FvNOsHJL/SpDykJrTG4TOEJ1LSil9fGrmajb
soNv2NdAa5Vfj2tZmZd2YtibutQua6pYs+XekdRw7mkEe2zXiBPGwIX+kCJBysorLcdm4NgXxjl1
r5z3i29dA0+6WLLuWXGS71V6MafOsOpkexoEf5Mr/Trw23KTpdl4dDJ5BbaiW/diuOuFPExOcMiV
2BQcGthOs/VIKc+tVNM+Nlp5ubT101Tre0fPb/Jq7teM0Chf9K0+dCr883Rg/Gtm83VANrZD9o7n
muTB/TqNInQO6i4ngL3tVkNkbQCi7vIlDNZDiK48XqGO31hovf5HcvxL0sUvGQbn6fmXGfXndc8q
Arr6IMS+zEKuSalX4biLmEki2qB0dlZFtIQg9qcVguywfoQJ/t6/CjiVf/FOnwXAXy5uoNiG7+8h
QSAAmVXvs7HLQ0/kD2VjRsCZ70RnPBQeLkpaxTJCoY/4Mm7q9YQPlF/lH600nzjOaNtRg1S/4O9g
K7fNnfFDdEeb1JSmmHe4+TFyZnGkleRkO+Jq6s0i1JvqZQmKe9sZHtt8oU9ZZh6II+/OHLVDyWe2
+vP7/Ncqwur76c7ONqJf7qzWMkSUrR7lwKZ04awdc+ZIixVR/S3P6esK7HgIPfDwOQAhLEIh3C9e
cLuLB98XaLH6UEXOKYumlf4zHsg/zrtm9+cb+2mz/DRg/udqjm6jLMFkT7LGr3c2q2RpOTYtxAPB
Fr21D9mxC7bfrNOyM1+meU1BT4XOujz4rDQAWv4yZs4q7s9jBhMUcRA+LVVS4c76li9PtgTFBNDX
MSPdooybyocshzCFIoPqjIavxRH0hfxk/IDevnVNjguz2+5AZt1MTHOVQx+h7y5LsbALn89w89S8
m+uq2SwplO44VogxS5IFdIveQ1G4lO8thbOXuGrpQ8sRAOysrPhWAquh06KmzaQMXL/l4ER6XD0h
htyPMfZTqnLvuWTZ1DWg9ZwB4SDVy84KhpOc7PtSeYCnpvpK9xVQb7Cus7E8cjKWAGXFdzk02xp5
SoeMeU1Z4l7vIze5YKJ3Vl32Ywb6hqcTkGQXdRZw2z+/5S+z0T8P2TWYEnR08V/zaXWg/NBqmBW8
AC9tsnICrJQA1P98lS8OVOJfXJIKgTSwy8J3DD/h17Fk9l48F/n5K8GWna2m78azsUGHugXRvy7D
cVc9D6gqqy14O+1g7mi06rd//g0/x+un8fz1N9hfxjOGNU25fgF2dbHCwmWpF/fIZ5An95vSc9EG
4Pfql73ZzFfIs4mjKYjQCa5niUi4XdFyv5pauUHOsjJEu4YDf2F5cdjpPukfxjZOm23cXVpDjXDy
EKf4SKvD4gK3kUmE2Xu7kNDgi2lDXxP11PIkR3sTZBLsvHYMNI6qxrxV03ue3bAmbWRmQhec9yQP
rjBBXM7w3qvaR04iT4Ykl9DKjxzWVnkNhcP6gKW8jntaA+D2FBZYWsybHCh80+7NdqEAUGRbpKxs
pTZd5myL3D7pJIIiri+z6lB0w8nLvFd3siOdVlNmogxwsAHCaABCc/fnN2H8yoD4ORpcSlIMCTbf
jLkvo2G2wbxQmgfoFsY06Nckna3PkGqO0JspQhdQbOLbvy6A5/f75f1zVcgTnJVILDofrz7P1FOe
+JZmLCb7bGemDlxgHDfHHd4qaJV65JBxSXW89VDpp+9/ueN/z2WeZxIdznxG5i2HsV+vnS2tltCR
WKJz5nRxZCO71vd4Ov6vMqfPi+mXG0UjaGIT5fTH9H1ejD+5qM0lqN1htADoFg3KO4YrqnQ7B1cX
7PSKOCkYliagnT/f429eKtE4Absa2wIkb365KrYV0cxtTga1S+pE/SibJfzzFTjK/uu+PBO/qo/r
Bo/Pl2HTgCHq6pYzYd/uFfv3lBZD7D1AHjPqvwzR392MB3rAtFlscaOfp81Pj3D2Cwt8AGufpd3P
JIDAavjLvZx/7H9eEnlHqDyx4Hoc2rHgstD9eoVxbFk7rIZ2rgF5VGlpfZ/X8h15J/xNkj+2WpsD
1E/ri0l3Hu2qYedcPUwxmfZYRMBtmxdwiuC9quYBkGdFz727q1VW7Ghb0bVx5/fARlFeTrkVDgAn
YA2SDKNqoK69oy67UsNhGTSPydiHltt9OP58cD0CB6n8hoGvQeZfLo0S5KcqtKvSUydUTGxtXPqW
bldcZiWHtt7tz9J8sdXr7rtjt826amGU0RDbxoi018sU3CAfOS6dtk0MCk00rCAsByYQVcAlOkKl
MD+3BHRFoo1MDLRGOh2p3ic1ckzfR388VplzyKzi4CrnubKy+IDX9XaZ6nmrGT0nWqMa/zLQfn37
/343X3armAm8eqBMG3kNHMqc9Ibi5c+v3/z9JbBFn3fiNrPgr69fVYs2LPybaDQL0hcIOnmpFJBn
Fnh8xVgbV558KscYjcKLAiNdV/mxQiGCb3YViPTagoRlu+2+p1CMfj8aqXwKNFGqeEO68ZdP+0tW
6z8PxOWrc5EEuzCXfv21Exr4Ro6OHQ1VFbm2dkiXdt/pDZXxfD0JY28Y2TGwG4wMziqtyr9kEBu/
/Vg+Xf88vX76HJM0V6MzBITTkr8mL+vNuPvu3VB5CrMQqmD055fz+9uFyWXqukXCnffl5RTLHKDz
NekGHMTejpqL5NTsobWGoGHXf7nWr5P1P4/207XOA+XTremThmd34VooJPbeuPKenQ0a0bD4gZj0
XPsIIXX+ML9RwyFy/q+X/+2TBTuA1U1nd/Y13jlAHNr551sdN+2bGSWHbF3sodeERBuEfw9k//W0
9M/dfrrclxfZ6NOAOnBh56cbV05dXWhQPURyQUnnL4yVXze2/77Sl3cY41q2SyZgYMDNduyH7dkR
6M7JX05Jv7shHKeBjpWcdf3rQlHqAUoJ5vpI+XKdO2Tl1StDvumY3f4yUH43Y3y+0pfjUJ4ttpbj
vYySx+kZlOgJOU9kMyrX/lV6JPXk1Qv/csnfjc3PlzwvyJ/GpmYXhadK26biywHEupuslVp7q24P
j3zTHTO1pvsCGOkebfzF3wcntQku8GWRJLpKB5ThO6Sq/5xFP/2AvPcUhTLTjZKa1jfVu9d8qcTK
q+jAnqPSFl1u0pw6gAnPgjQN+wSDvVsHkKKdlO6Lp1mP3cKuzgNJQP80p4xUUP9onStDuZexrWoY
ZBqduHjZTHEaNSlSi7nyH9yOLBG4C29LPb9rI/JNp56ZfewzinTp75AVXs06FjaTZqJerWt//hDO
eFM76cEypwt9BNHujXUMdVYJRKiEyA3xeNJETG+OH+uVxU7aRL51iYbEvrn1fdASaq5dwmCc56lH
2OMEJhg244donW2TE4A3zYcgo2VOPtk7azC1OZWiKSqQPLkb2wekfxa0e+OdQgFw8BoFNq5GfT9y
7mGp4NFpCIWpPCvjhFoAe1XhludUI/YR3eTvSLDfTm2sc8B2LzJP2/e1s0ezKPkHzgz0Mb8mv3CT
65DKRc8BNQbVWSTLm9Jh12tmfcTGdEGWo00gs9obunvj9NneQ5Hm0gfD9F+uLSt7gvZ7oQr3uatA
IBBclu8SX/YrR5dvcSkOnjn9WLT5rtGS10nqV2MVb53YvCrz+F7NQxbmmXWrhgzqfhUVdXoDIGiT
zP5VYBk3AnzRyjcySeM5O8q+2lmxOObAbUtMD26l7eslOzRzUK77QBE80lk3tJ/PSQX6Gl/t9wBA
LwIaPMlZlh5szXjp9DREyoL4XiTXPT427BSvhuhukd1eDYl8a3T72Lv3mahWZ4puYHd3czeh4xqQ
0/dVhMfxvqfGzK5u0p9LkuJr9p0roJTkPlrHJC5PZRXHKzXKfSk7mCVJv2pKsUMciXIk6GWImY0a
doC90zEL6lx+daKaVeCANMgkGBoAdqZ1O+WEszlmfpgdP984zvDQynST5dojpBUM3xTbZzGTAGP6
+DtwkzpiQULPKdbrNuixDp3dbm2DOuzo40eTHtJcFeRrS3cQ/vK1j3gMnAZTX9KMH2q2C5KVnVNT
D8uq4VypJt8jRdQH4j75F/q0GcbILjb6uTqcGtlbkFbuGpxDHVUteFH6E0cYRhvA+3dj7N8ZGYbK
HgIMUgTXtg8M2+tpsp6z1kI34z20VvLY0sFUxnwF+WIk34bf5FrVK5yHu3q0ELpD/cgN4N4m/Cr0
RWoe141bHhEc02iQMFcrnJZhavLLlEn0Y2KIj15fWGzFYm/6OgdMslDHy4CzkTHBIw5cbeU5MFLB
uWx7pZ18UvMIXbEPxri85641hE7cXiy86Z3dux+1AaXeCC46oWsES2T3EzqV0Eloe0P2uesVSszG
R5DvSe+WRE950gLGCJnV62Zyzn746XEZiW/Oiv62yP1vjsRLAA5L2zi8mpNTCf7rbLt4+Y1WQu9N
y/HB6L0ywv/orNqxussTtaVV9IzZ2Apne7nhaDqEtcXktAzWgQpsBlJHvHZptm1TQn08PQDZvFTV
SvrZtvBJLjWJI6emkM/A0ZEfZ7HQQm8IMsxCTRkRzIa9YrRPlXLwpyxo07UgTqJYyOtU9nV4xtqs
3HG+5aPBFELQG7aodZX6NiGpvBjT0dDs8Bls3AA1FtK4EEP/Dm89BM8e+lvq96ABe/kd8+yTwjl6
FvkiLrH8XWLnPuyX/All1lMWU05ulpE8MJTwmT286hxzSCbU+J4n/0MGHpl67WU7aONmHkpr1Qr0
SWWwiwMm4skodzMiilATVHZqm4+oW+QVw37rZz6yoaB8sUBf6y7uG5DcdNmXtInSuvnI3Pa7vxAr
V9qHII2/QZvcm1SDAe72O3dqsD75ELEpohSme4JsqIXTQG9fusE2EeIujcejRUYAOgcTzYJEEFSb
FZylsXouWxQwnSpQfOQbF/VdrtJ0M1VoSaBSkNuT0wWbM/ehndvvQaDuggygoRBAz3UcZj45pi1w
G54vygobyWpsogTsgaus9Ea/CDz7OW3bajXW4kFYfL4F1F/GH0ZmWXe3WEbx1DRaHZmG6ImUobmI
xjk9CSGocTE9wYh9i5WO6nlyhzBNAAB3rn7CZw/NeCIaCY9UuvJF7R5gAmxiTf/W+/VDNiOAXrym
RFTOac9LqSInEsheu8mW5EYzYTumGhNQcJYImjFNpKyYUdV40j70VEC7lT0DJp1642HqCY5DY9Ze
kxowrNoCYLbRi0uEO7u8109B2tDTzZ3nbvquLyZfHtDKMsVPPrNjQH5bHgV9Ioq79X0ZKPpXJF4a
Fn6o3hxfbac6oxIKTDr+e4bsd2V6tgxtHyM0HIEXaaDR11OJ7QOUxNSfBlVixQ5oYxqIIpXm7dH0
HwZrOhU1iqoFPdnWWwof20tMIdi5RhO0RjyvYThoCAHWVDjalO9qsgdy+DUkdiICKQwQCpYkvACT
F8J5rb1zOWjTKOPZGzpWkXMsU5eWaNwtzAuNsoYV0KTbLtUenVx/SDA8rW2vvBYSz4a2moh/MpcT
CplHXTQvbTwjyyp/lL67GysylsmbbkgiXbUunUcRiyvWhGsXcjNOJwruMd+omb6pWn+SDsmCOYvB
LEW0GANBID1q3+at82hn50FDWJWl0i3t2/Yx00wcJpoPOn4m+otWB+kK1LE2aNSwH4z8MWkxESph
jO6mKicSO7GuXanzYjMZ+POsRV4mVf3sKkXXYWnVba+mMhyC4j1Ppn1tYlZvGeOzhnh6ID+6gDg/
Tcyzomw2/Zg8WV1zaY/ivfOxxjnj3k/IYOMEcsF7iswcklLb7ftxo+ILX0XSGi4n5R09fd6liX9n
W843YzRJOEnuBEkTqzpIuLzNhirPAKc4c3VMvJwupbxoeu07OO/rqrA4oTrycRIjU0kyAsger93K
5FGLH2OlHQ0jOTApYZdQ3bHt/DbMY0IZZY6iXcsP2eS9wZ+f4EtQV8FuvgXndN3SaIe6wAxgtAj9
sZvdjSMMmK7Y1Y3YjfgHNK0O3c648lV3208A3RFN3ib1mfXgHwpXbtDyXUgh14nONg913KpynX2T
sMtJ6mxv81gp1vTfhw632TSQxUcGmeB5+cFSEYRSQIyYjOPcemTcCRalctkCetpWccUwsG4L+u/0
A3rcmiqIUGD4ayKEkc8TCVbNw5po5S1yPPYPBRxy263ZJDXb3uiYaP1Lt9H2KWIDsCs3vfRJ89Ka
VSHow7TiyuvUnZEj/grip4C2P9Uz3kE1KBkuOlhctBHv05B/o7FzVcjuu0YrfoXerNknhDUthCvW
lnW/+K4CEevezFn1Qi4iOZKLfPNH487hs+wn99UAawv+7NrLnPySeWUK5SSvagnq3siI0gNUDr5B
Zo9J0ZlR0Hs6dcIaHKXzNgfBHA1ZexYwJAfy7aja0BhaJ4JwVderEOM5Rnmc8E+saiG1vcjsaSvm
/E06fHV6AkbejskXGsRDkVRvvuW9Sw/EduBJHBJkCRmSoC3DJUpBPBhMwf+bujPrjRtbs+xfadQ7
szkPQNUFOkjGJIXm0S+ELcuc55m/vheVeTtDdEBx69ZTI5EPhi2dIIM8w/ftvTZd9sC3uU9EtEgY
ahS2fwFuWCvt07ccTxS+EQk0S63dZxKnU0/JtG3b69q6IvWX+pKV0i5HtpxgbHHGkGgEYcbBGeE1
/6omri6onKKL15MRPhi6fujiFusm8zhfxYsudr9kIb/tydCyKlTSqpzuBzk27Jz59NxReK6N/n4s
VEVUO8rcG1yUo/BJtB1MH81V6v2MccEasDHWkSPYWD5B/caIr2ky7Qe3WkHxP1+0mQf46gMsyhhG
2ZTEshGIza6JWAf4JhDt2T1MbG9hjsl3BrY/VOuQTEcAyysixNlYaeF4plJ1oibA+fjvG7Eocuh1
5ZnRHJ7b94brGQSlibszNYATBSL4+oZhUg7TdMtY1AAyPN4Iq1WGsKeXAbWAso0c8ZWStQMO+bo9
U09Z9Lg/6jafxlvUxb2USmZZKGSNr5W1zC0N1+MNtPuNeQEw0d+W52qLp+7h8QXORZCjGgMQRR3z
o6y56sbcj1eRYzrWN4xe1NuYut1/4ek5c0uXjXUy1GorhwDBLZX3zS5x8kO8SVbIebfVJjucrfGd
qqIcXeEHx+zoCklq8vC8MJ52/1LsOAxz2FjnUOtNdkOuFrv3v86OOb8ByzfkeMzFG2IaxKXk89c4
rJtL1aXZ6oqZjejNltxqA7byf/aYmos3obDIEMdRwLd42yNqKW+jNf0Nw0V95fgvxGJ6Z0Y889iY
898f3dSya3yiURhQiIUbX5fpXZbU589c1ony4vHbsCTZd+wAYxldmJv/ysgP32ZrOA0rwWUn71r7
4tfkluvAPVf4O3dti1JjZ+I+pXuluQ0dp+C6olRx5rpOVBY/XddiVlGVQqQJzN2r3XBEj5T8ZCPi
0gCOrv3teJVvLLdy8xQa2Wp4983VuSs81VH49AEW00yqshdUP95BBGGX7O1RQ5kO1BDyTTbE8KGZ
c869FJ/7l79NbeZiprFkwnOSmou2chH9CVuf+laRXsbwLk8OX9/gD0HFF++ftRA7CGat1O18feom
vYLh8YDCbF14K30j2v3d+H2+3aqT7qor9pq7+pIK7t67jA8h7yg+Fzt1cmShb+LF2Tt/ZmZYLt5C
ZpYa4lXNnVJtM1CrK+q3rkOxQFxRqTwnDXin4MnXfg3RNwGZ7Nc35kM4/NWNmT/e0XubVCBe2JWz
dEOz6LHItGNI+BN42tZ0RG/XRAfqQ6vAE/6dCUOd0yhUBeXxUmmD2pd8VpGBx3gL/GyVwhs9c20n
J/qjIRaTYAeioSBZh7XzDeeto7/7rnFFnKbLI71lcbHPTxWnX6SjMRfzYAXRR648TXPjp3l30B7C
W4yeK/hYdnXXPRpn9iMnJ8Sj4eZbcPT1WWDNhMFk5+UD8ABrmZT1Ci+dZv08cy9PLtJHAy3mQFgN
KUnu3MvsZbTNfbrPMfmvYntC8F7dhuuz78XJSfdowMWUOFiypYyBziq9ynb6nnQN23PAE7jhTWMT
a+iY9r9xifQ36atIpjxznT7fS0lplDCpG3bxCPywhPQbb/dG+6FDg5peZ+clqKdefQV5MCJGbAni
UgUDO2YMEUPMzUZOR3eh222Nxz8dBNQlkn/v+v4ebvGsVF4yGLCGaF/9MjfWGmP/RcLkJjqS3fAq
nBMsnpxaji9v8cigZRACM6JLrsTmJhzNCyTyP/up2Yg1FYlcpzPSeC9qOd6jLXn4+ss89eofj714
eqKu0qeo5VqhSh8Mq7gdxfFFVbUzXdVTr9/xMItlkzq+bgoYyV2E0ekKQ62NOf6nkLfXptquv76k
k0eB48EW6yWqdLOq6VnT8ZzW4/fYZTpz09oV17IzEkh2ZvqkWscDv1wb0PpQwUOpDEdy/vujyYUe
Y5jmfai4VW78nAJrnTbQZYX8MrCCy7TKN3pQ0K/IL+q2faiUYdvm0MZjuvYATzf+YFyZlvwaayrJ
OREK+KH+GVCd1WX8Z56srVMvchS1Ociaea9DwoCY2VJ0JwQXLx9S5vWkj7s80G76QeghwGtXXpSt
B6BaA5VlRWVPa2m/Erm5CMPuzq81AZudX6DKwDZqjN2jl0Y4/6EW5sPg236jQOcwzUeESLlL2+cx
FdFZCso2l6gFyfVlNKE8CaOn1mxeDRkGP0u/t031m9jbwEMyU5l8bp+ClWTdwzLyV4R7/STr89AF
VP8VS9hJU1zhiEUXJOYXYjzZmmc0RNRrDr9sD+H0LqTOx14EfHnhNgUm/V4udlWqbXtD2tcqYXZE
L+9CIEFQw7K9Dw7UtDASm5HijhPp5ooQ3oqW9ITgCB8t/a3BbO8A7SMzKgmC7ay5D+3TNbAk6WpK
yjcFMtNUaQ9mkR+UVihsGAzPoHyFBzkJrpIpUu+A2jOhItBfZTV6VB8lHcG8wmiXcM1WZk99Lgr6
3UCpcS+nwc80H4j06+4kOSGDGGoJwEiUlxIuQZi/lPrnkouI1UGo7sSaw8CkFA+KnG4Kc/RtM44e
gZaDxJVs2oI/ulYFcmvhF+lwZHdPWmY8ik297SRKOGlb3msBAbKDSHS8pmIcDqcLs8R3mHaXSlvX
EBoxaioVVa2igIAlUpbtk/yy7k3SijsCYb0YLrM3Z4iaDXVLiHg6iQfUV+Gy5wHmbbFfKWp4ryuT
fEme5WHM5IqseGgnqnDoi+kV45TTtWwYq06uHaUq7gy1uCtEgJb9ICJJSjZBpDz1vb7uOwAqRbLJ
hWBj9RRAzFoGARNYNY16gA8qBVPCbqUrvaieAcDgVemTq4oqE8EKB2PSEDmFyUve1u9qKP8spuly
FBCSFTg0xCK60TSygYPwh6Rh3OlL3CfUjg/0Qx/bPLgGmHuD0H8LZ4QyYjwBCKEptDKn6UbgbYBW
qK4spdzklnBo4v62IKS7LoXUiS2cVspllTYPleDdFhl6UPjz9BStqd4OAKIhFUawM8VDG1BVTMwg
mo2qAHp6GaOqgTfF0GWsRHFDbDvdxRoE4ZS3+zgb3KmnMFUaqWbLg9zO/fS93ilXYqZAFbNu5zJe
k1aHRrV2JHmRClrsB1h5YzN8g2RFkzKYO6Fp81gV3TfAH8EqBdEHC6Y+M+ud3MAdT3qLVVLsO1+q
zUBxccUAptiLBzR1ti+suG8bc1tszu10Ti5VeBllBa0om5rFGpIXuleNwBtcdTCwuVrOlFw0xtPX
i8f8S36fyv8eZLl2qJna5jmZ0U1nrcLkZxLCWNVTCqQPhf6qWOHm6/EWmuY/D3fQhqBs6tDg1aVE
ruyKGopzQ6njCUjDisbvtvqhUtSZ997Wrj33tZ1cq47Gm/daR2vVWECSwscrf0jiSiJB9sqlv0+e
jXg13HVuu8Mmsz1zjaf2xMfXuNgwKsDYYtNjTGqB68kJQDmtPSdkT+ytrKeqdc5uqX7/GvFJyRYn
Jm6rZGiLqxRTMpfFoVZc0FbYvMKr0F8HdujOO2NpdMl7K/BNTW53x5kdhcK5uzz//s+P0ezTQts1
P6u4YBZXzImKybVv5joFpxtWC5SH06Z3WFcrfFrnXg1pmSmALPjzgIstSGKkMWT9UXZbzfpuhuqs
wW8Ppti8Vj1NIl8mAR6RyoWgDWuTnNjYCJD3imCpE/2HXEPCqmeofGQgzDTC/k4z2a70pLvIpSHZ
zOVubYjXNXVi1S+/N4iuMI1rt2Tb3XdG/KZViVtb1h1x0dCpcdp0SfdaBPJtinRw1RdQtfRUg5CP
BDQP3DDQZu3GhZZKm6mEnxwgqOm9+ocVBHcBeoayG19FL3vUkC/Z6UgrG3Q9UUO5/ktW/OuRHFPw
td8tvd0SD/BNr+DzF4EQuklkvvq9EIHTouPOiR1sMVYbXIPvgmS9Ddp4F1vZBr2/K+qJC8/sGUHY
HobevsyipzIMCjtLkn4VkxuyU3PMPn1m0O2vkRD0Uq1tjIqqvdfor1o7bftIeoaVnq36FrWYVHW9
TYX/YYoEiY5nbG2Mhm1CUChvftQis4aXJBWjR4QxwGhThvafDYLbVTCoZUsQ1lEnkR0bqfRUUroB
GDxz+K5OEQF3USmEEkCGhCBKfoWKQlDxBCpTrHMnBLswBMJFF6Q/4encEjt4H/bCtrHoineso7bf
4zfVUaqsSit7zmitFZF1Q1RGZqfeQHea8CDsohFbg0Z9VGbKxUxGsPrucZRTEidgJaQkp0PApdrW
BUnmjmXx2tWqbpdTHNqdod2F0IXiNnk3rJw4nIgvIIrqa+zHojO2+Q+xCT7syW6RmLT/tclCNKKU
KGlAc1S5dxEU1bqwLNTI5LGsRJUti8ECqPHMWq12FSfqIz0wwr8T+BPlt7YQvoHGmMicj16TQAQ0
GKrb0GSL1sRgiPQmu9TF4Tqb4qtx8G/9Tn09M7OdfM9xJgKkpEDzp4X7aDaFVch/OuYF7bratd+C
tfBRqy5vhgNqs3MH089OlHmt4CVXdZ0QVEWGEbI4KLaYoskbU3BDbs3NPG2b6Iu9C/zezr91XX+P
tDgWmgPykrGFazI7BlU7cyg6gRNfGZvc0X/od18P9/vKznVhbiG1kaMlZs/Pa5ISSXUtD8i0gVfw
Et3H3mMdnfuqzg2y2D60iaBVY8Ig4oZL0nmiV9G6ucD1Z09P5Y333Bx8Rzoz6u/n3s9XtthOYNRo
Jy2lIk4fdmpuPH1dS++VKZ858v6+qM/DcAsRKppE+y1uYCHluKxzDTceDfoAEZStjMNw5vE7N8ji
BmYQq3tJUSV3iox1KCc8ERE79K8fhROH98+XsrhjUznqQuxnspu9zbtKY4sewy6t1eA29vmFc/5t
v63T5FtiWoWFIX3szo7e3zQuG0mVBMWNduWVcoH6Zi1szncnzw2z2CsbklzqXg18J9op63bTbSvX
2Kfrc0XOk4/40dUs5gcFZ344yAxTBuP1IHO8S6VskyvTmWrO6S/paKDF8yblyI1TdnwfFcDZhwfU
Y4WCZs1p4PZcx0yaf9tXX9LiwSt7L2xGXhp6EtFNYCsXw0PsDhchEBEo1CTLbOtt4rKh2379LJ66
nXhWNEuBTWAAafs8LaninEs+YiQm8xBhr8ZhlNSbQjw32f6uCgAqcjTO/OIdPYSShlta7hknuwy3
6NtoYpHBt4q2FKvOXNIJi8rnsRZPYl5y9hX1/EOav1bfoX5eeNt8V65xzmu7/9n9WzyOPYf7btC4
LgPE7uiBDdDe+/7n14OcOIdqEsZMhWmPVHAIIp/v3lBzwG7U+cS2Dq+MNXTWFeTMNd+YDantX1ga
Tz0WxwMuVCS1rgdse33MBWqg2Fhf38RR2aH/JXgu8efNU36HmW1i8wPknUQYKky+dghlwPp1Xl5S
ByqdQUG3iFi18qp3eShau0X0j7gQ8Ls1xbsA1du+qsUfVa8jfa/6h0bWspWnBd+kGot4meQuAs7Q
TuS2QQyJfM2ccLlX8sgGXd5ruXDTUihwk+E+rrO3qVEec3ZXuBdwg2cXItpdPhXk1AT7KkI6hcQT
Ndug5FkXZnQhVz4aNH0HXZXqo4ocE/+71+lI2eW0voCxtaEO+KNSFIRj9QVJLOvQn5xMLC70SrzJ
SkiwyELIFKvdHCYqK+9WhflrYQskBXBbhjXCeb0kDlPxgUGO+kboYKFPlekkfkqxL7ecDGngLFot
riJrzu4EpZ0rqY9CNwoulaL+lhTGr3TyQTV6nmrLUvY0IZ1ypsZ8MjHWu72heQ4J4oGT+oMIms6i
Zae3BsW7kXiZNME3CYzFrmdkcJJRyaziolpNQndbWUgKw9yXbtPUym0rirQdTFoQAl4LAJRm0qoC
v7Xq+5H6o9bf62N4wdNZckiQfc4FSX9hmtOcjopqPySKcIW/Mjmz7kvnnsV5f3o0dbSZ14YtVsGP
k3WEx8A2LtINHxB7Ns0KYY/65WwhZp5vl/Px8QuwmBdxlqtkKjKoFqurkZuubYfml4AMmKx3M3r4
+gU/Nfsfj7aYHXWOhjqFO2YR9ZcavIf9dYKmryNMrMrCM1ucE9UYJhNNpmog6jyf+mKp8bJOC7sa
yIp58O/CCzyzrulI39Qb49C5+lreluaZr1A5dYQ4HnKx4VEmQyXfniGHdf/ESrrGmhLf6KabPqIV
ldj/ZD9ATNrWYW5B5U5h++vqW/s8HGbl9D52ooNprvPCIUD18utb/4FX+e2b/vt2GIu5dfQmMs3o
ymG4193ySbkv5FX7CwKDne8TJ3wUbzSWKrKvDqirUc34Lji8VedKyUp28utxe673ePYTLSZfSxOJ
M1X4RJNvmejbG5mCdiy81bLau9KUkWdXCo4kGbtchKugtxAp0RsBdjfzQyqL1g7MHzpM4otQ/OXv
ILPwwujmIfQb1Nk1ShIjf249LMdgYTlNNuL1NAYvWWcmdmzGSJH9HFGsaJ1RXpx4k7GNcpQEeUHB
aHm2I9whCQfFI6BirL9PhnBX9uKjASnq6690XnMX3+inYRY7t67zPT9vWZPlYrKT5LsJAFYSroio
OfcqzbPAVyMtXiX+6WAmRc0Dsp+PkKZ/nazjDeQoJHKTcRWvzxb9TuyyP13b8k3KLKVTo0lxdc98
bn3xx9RWEGhIujTNytw0BJ1gdgpSJ9BrbZ2Y4c/KV56Q3F4YageXBvzkqmklSBvEYNi4mUzXb6tf
ZWr9G/vn40+6VNnUxP8VbBo0NxqvMpzCpP867WtMdNlu2ACxcL/+0pUzD9dSO0OyYFVgClFc38AJ
aMnfJfoJeTZAkir9Bz0EXBwW9CWFDOQM/NxiI0AYJkPYSK6IG4BjRjrNKIbjOpnGae8n1VOpaYWt
kMu3UtVecgNYyLaaGy+CEQJoHbX7sYU2m1titbdU4kX6FCprQpCNUwfYvBJFffQgYCJqhtuRosPI
8bqceQZPLFTcZoOqiQ4yRNMWG9CiKI0im6aZsp9vFI8GbZYPz4bn/aDFE9tYmwunk84Jdk4sWJ9G
Xbxiplhqgt/xioVRfaiqV7GMXNGkztbgqEuyM9d4brTFa1aIvNBFz9Effp3RuJGMHzwi1wN1fy45
Xz9H5+7n4gWLSKPUJ43UAvL0hBDHQZaum5lvX6MXL0tXMKwz5YCT0xWHo5n9ouGSXlxdL1lmG3ed
7CqleeDR2wxj/iNOI7cqrTMvyQkZBqCVo7EWVycZbecHpaa4Zvvmz5GHWJ46oE5VBPW1T9faeJj0
2tX0ZPf1bZ13ML/NlH8PvARKdrUYjZwc2E8pwwovpep/+3qAORzuyxEWqyZlNbHTwKu53qEUd3W9
hjDePmGNnpzULTfTVt+RPcO2GM2XcTdLh+pd/NJzKsG5+Ws+SGFcPHe8PvnkkozFiwloFBkAH/po
7+oFCa1UpaFakeLl926Hjmyt54gQYiupz824J+/A0WCLqUANAB1xGlVYjcIr3NVANQ/TRfmt24JH
klcylQv1WbP9FwAkZ97Qk8/w0dCL+cCr9WHQ8ZW6ES3llrIjOSmGqdnUZtZff8/nRlq8LSY8fn2Y
8JRMSoQvzLJHr7+WjeFgGsW/88weXdTiZamUqCcsr+N+BoM71CZOgvrM1Zx8Lf4eQllsPqM2ijHr
tcyjwW0lPop6emZyOfUAgggQVUPUeQSXLBX2tbIwmQU4qZpYexjJI5DuQhadRMcWdc5zcapQQY7M
38PN13v0vCMcEuumT3jQNsqaYJF5OxTRVFqra3MbUCF2zz15p5b94xEXb1gRt36hljx5EmlpdZ4T
90NLxxvPLAunyoGyDmVhdtXQnl8inNhhZQFcMeWDUqVcRg5cg4u5ufuv9CZObmZ0WUYLa80ssI/J
7ug+ZkTh5GUaUy7DO61yBhoCtx38XerFblFOyFEwQiUP0WCsi0ZzBhAGo9DfmmW/MSjBjEllgxzf
BbTh4lkdo3BYLukHxLtBmzl+tUOP3O1I0I5S0sulV3oWmFVvavKafA8LPSZkQsycWMnPzBQnv6+j
K1u8VEWBa7mqStlNIDHJcMsN1JWKVZ157s8Ms3yxxqYZ5aYm26jr022RHehKuhFm468nowW776Nb
NcsaZkQyKlGOVp+fdxgaSWVkrN39XnuoHHIAnWqd7OYlJ7oHRg6Bi8OiuI4uEHdVm7PHgVNTvimb
c+2AR4XAp8/j174+CBoqY2ojmDKvAMZpyJRWA4VqKI0cQyj8YO2nQti8hNdnW2jnhp8n66PHVEi1
ps4L9pyRGWKhbXbGZRdwzOoUgu09ExliwP8+iIVSGJ2sq/YiPfxVFxI8BkfXdIzCvDcJEnLiqL2O
QjRaX39Bp6a/4/uzWJeI3RsndZI5CjY+GBppj/QIvlvkEPw5e9Pcr4f7fD9MVYNWBZXTIn9DAeT6
mySilchr7CtYTEA/w/i+L33HG+9b4XVURrJj+jPjLQorHwPqaIVVEfw5WKBlYbiPBC0kyd5yM890
J/ZVQgjIUBAqJ+nTOzUTb6eY0xaeUqGgr2lNzlTWF57ROYMOBUHKXYujTMyO3fSHVRFljmrFb+YQ
78sRiLOuXxTEdwC4stnyY9OcMw2udCz2bT7ZxhxnV58juX50Qv/eKv5+TcuNXDt2mdbrkiunJmJr
TlGXce23KzEb5Z0QJcWm681oR3v+SSUvjUYQpedVYMniXvdy6jhez0sw4nzMiF9ZyQORLL4Rf9Py
iqZUXkDGE5p+r8qetgbqHLlC3dDX8QJ5lZstB3cBB4JPn3pVTcPolESYrbC7PjcdGeZFSdZIi2R5
alEyIja4FuZ4O7/3kjPmuxPPkm7qLKUyS7epSvPfH71bZkmLnG6XioiBVESCJrXI2LRNt2oRIaDI
OLtVWCxx842HuKahV2UykVVknZ9H1MqgbYxsFJjMqK6v57V7/Nm46rramFfCmZ3P533c74Mtpo7A
nyYLxImHMCQGiEPNRCqdhpDAGr/L12/l/Lk/P1DzdQES1BTAmdbSU0j6qWi1Mi/JEF/WBNgb6X2j
aGdmmnmm/zyINZe06LKaMo5teXE9SL6lOMoJdVY3/rY+hBttIzvR3jzzxi9OcPN9+zzOYkYjTMMr
hvJjHKJF94FD6PyOfND/rqLt95EWa9tgwDgJLZHHgbXF3wIixQOhfjCVIQNfK7uvv6XF3vG38ZZL
tuTXTd4k8+PHeOr38TBXWmevTLQ13s83uT5+3xff2AeX++gFaz0rLfya8XDTKra2q5whcGiErgkL
GQ8CqlYncPqbcS3Z5tr8UVyJxKlcIMqiRO0/SHa/05/9tXz19W1YuNN+vw3y57dQVIOcbDo+lrhn
P+ZOa95EJ1j778xCDvNwtHroLmkHuSG+WJINXW3fP8TObEnp7XZFteIKt/zZhoj0+wv76cH7+NzH
t6uWRwMMD/7KOF+rJTmYsyCbHpE3Qm+Qi21dloekmlZg+u2MSt+U7ScpInd22lRTwQHqr5Xif3/i
ttf/+E/+/JYXY0U6aLP44z+ui/fsvqne35vD9+I/5x/9f//0H5//yE/+9Zud7833T39ws4bu+m37
Xo137zVA/48x/fd8/pf/6l/+r/eP3/IwFu//9R/ff6akLNHgq8K35jjZnnjf2eN29EzMY/z1s1ff
U372/0zt9/Hkz/wVhmKYfwDG1ECT0LLXOdOxQv4VhmJYf6Cb0i11loSSpnkUhiLIf0C8ZasgMj9J
KvJfvuE6b5vgv/5DUP7QZST9FnOXYRjAhsz/ThwKmb6fZsPZICIjKUAoQ+MBzclSx1xHQinrXgfA
VP6V9rj8PeKcnBjYCBJyNZtxzKQZWwmq0YAY5NgibBY2MRw4w9qleaPZRmtsgA7dJkVLKpb43Ahp
R284JRBPBu8sGYW1LuEfsHkZ16rQNBucAs2z34iDLcezBlGIs/s8L5+DMoqJBoefr3m0jwWl0u9D
QTUPCdnV2C9G7YIQt8e8HQH3tJa1M6w4dbop8dds48bbLKZV2pZgu8o8gQUncZ4KOD0VAuEAsGc2
pZCQLKhlmxinxqaSAZRWJpFVQS8ZtIhT1rVBvCjb4VXHar4xjcpbwRd7naYCJk+LCDuXx8G1NOCy
bexZF2yI9U2cN40DXa1a9+WMtBlxDxTa9Eo3I7c5G5Zb3/Syy5TU0U2rDwblQ8hcODVJL5g0iNZ9
8Z2k02KtZ4ZqW2XQUMPsdiMsq5KoqRXbmRtJxwguF3SLPfIe13oy0kauxCtRSO9NrylcRdGry57k
kYsQ3Aah63WxbRKvcy2wSWux1d8xeSj7rvKeAw3all7SPk7a6rYRBrx6evVDJNabSUtS7KSv3lQ+
stt16c+hR2ZOLti09nX1BmHmvoNFZZN9/pg1PQlTetNfl4rJalDXHb1pconrsCJgK1Jg7SfJe0Q+
9taPynZbDOwOLW0KIXioAYVwwTiMxJelWZGvS1+VLlVMH/iQ/Gc/8AfihKf3VE/8J9lX2U5FwWC3
U5zYnMaTPSpb7VHMu4mAP0K9E2ksXyj80zGvmntMa5HdqcZLqBfjW96rCLdEskNqtcud2hzjdZb7
pA+KakZSlZe7uZwNuy7hgS0JiHMMrTLXUj20Nl5UlAplidSnQ6FeRKN46QlE5BpqfAshs71qtHA7
tLDHreF20uRvjSkhgFBVD6UYfDtRLn6iwED/mxWvQxz7z0Vqhi5ChmorxEC0ukAd1uQcgy/UYX8F
tdm6BakmFk/AWx41WCdx5d+Xea1fJ6UVwBSTf7Wa5K0JnED9G2e+PQ4asV9xk70oeow1sU78jYC1
xxGn6EUuYCb2cXwdVOW2Gyuus4z3Vt6L9hTBQtEQqk5+gbjYa5S1rnu3RAECpClybx3k3fhspgYc
tyy+jAeNW1XgFStFdtxjo1t211W0MLW8AJg8o2I06VoJshc5CO9B5TwGw3QfDFFBlg1IZIg86SY3
pGJDWENu13LwDmBLWSuQ+i6xW4JexMWsB/k2jqfL2IyALyHCW6WN+M2a0WZthnLbTKkGIxz3XL1U
pCsFUNPKRG2yqqokXVW+foXQOeMFUW/bIA5WMiHUeNXR+VKWwWdllW5ZjtWDlFkUG9CQrEJDu5Qg
3d02XVruK9/39nkd/Arj9FlrEypI6fwF+qDG6lGMH8cwKm1Zh1wvpXJ+OxI07AoyVZ8E7KQQGIUD
ck9emdp8+JKEh7hibEmcrvQ6SRwlE3Go88ISZk+xD8x77GbQfEh2yX5KdXCNNhWxdjVJK0qFILnG
AHqUwkWmZNOYQf1WUyS0g1yJbUbQLwifeJaJG3dMArkuWk9/SIihvm4Hy22iuODIJb407HlXgF1L
AvtMMGjhqDoEtrN5svQXpYn2aNrffd/v9mYQvzRWJO8NBQFQXU2PZOR8GzrpvZTDX2IPZ8AnsnQd
1nrvFGFNFGYitW7epNZFN3k/ElBDiLIj/4pC2E0k4+mSSmsrTdLdlOS7pBeFK+IJ8qe8TJJNO3qI
hyNpO4QZ0fblVBCoY7Z2Mo5Au/OM1oep504DZo6k3hzNeBaUw1pqkZrTZDIQeRfduonkAhwm4cSy
lV0Mplqjarfum0Fm22PopAw1KDSGy94r9m0MKM5Tp7WUzIMNKBdCkmEviSZztAERqaH0bqSR0pML
G5hDEk9UeZNXCvm1RbVVALnZkSLPso/u0DLX2b1R/RxgqfZqrR/kUiIzMhAchdAXNFDtd33g3VaD
i6R6Fhu+U1G4xjz0rR8V8jWJZ1SnEOGAghlDLKv0ckg740JXOnmVRONF0ylzvqX/0tINtgsll4EY
Zms9EAa6yYIEEFavbcODVJom9Iy1QjPsOJV/Nl57LVQ15oE0F3dlp2l7lchFWwqbfeERmBR3E0r/
aJbNpkGf77NMfOvV/kksx4Ls7ZEgialCot9UmP6AA9ZgqlaxKMYbUwVd2+DaWNE3HhwgUDQQpqB0
MR+Wh8YLXwlLH90+radVJuGE66aexHLtUFn1UznOUMhUf2u0QfleZSAR27TIVsRzVRfWWMkrXBpE
L04jJ1qxrdeG5Mvf/G6ClDupt16OzieIQU4lfd24ZdRBtvVvoz6tyINODp5VVnZBt3OjBAqaxR6G
lWz06mthCeXDIAlPijo8hGJy7wUxzXYvFoh0zmB0TI1FiKH2s4uFra+jEiSc53ssS4LTm0SLR62w
jUwDqnx5X6jtS60XDzDA7kA0Xnp5+IIV5TkTzZ8TjlLQGxIxk0JM2LIAL4zs6zcl5oFNxfLOHyqV
iPbCehBG5WcCQ29N87d1OWgjbqcRvlYn1LKVxJI/BRjapIQHMmBmWiVFee8nJg++bzxrkGGnGMgg
8IcX8q5Du44jKpmB4LnpAIii8NRyi8aAaTeQIJ2ZvWqTzC5Sqx4V1wuLG9CQl2qpUN9t29va7O+r
Mc4dA/MvXXPqU2NePbV18B2dN6kbbfE2+SBGmrx8MfRujzBE37QxZtZEwQ0IMq+fX0Ur3U4pr5jq
K1toXzdNO975FmZNGQY/erbwydS069xMN34TXkhFvA7L+Ck1pme1Mr11TMZpaYovajTAaZqGh6rO
91GSX5ciRfK20d7jYugA7sq00S3CrSW/eWnF9jUQtcZt1BJulil9DzVCZ/2iu7bk7g4GLOzjVGV7
O9aw5nV1C+jOWpuF+lpHKlS2uHurPYkjZIeOLqiLHzVzIqcmnXl7zIloCHTyXgcA9QTz5vh4xDc8
wveVmL97U4Yj2kOSJ3TXGiEcY6Omq6iElJbIKkVdRX5Wo+IFqlvwZ7Pjv3WwOoRvVV7nv5rPp6jP
p7H/D49fOnRZ5avj1034FoTZW/D98xHsr5/75xHM+MMkoAWHJs0uABGfj2DY4YgxU0yNzs1HVGWW
V/MxS/xDkT9E+CBOOGMZFKr+eQAT/zBkcBOkR5pofCn5caT65yn05s+qxZ9HX06lf/35ONHMXIqg
MZmItKqsOQ1EBVC2LHo1UVgCIzDh8hlkTE+ChlXao3yrVU9ZLoJ91MhdsnU2qlab3ajdFNsZFs2L
sa5RMc1/rVFPfk1roKpQskxb0jOWdjMNwLM2DwK/n0ppaDA7xKTs1DIFi0E0vtE5uglbjOJ6BIlx
NWUEpkFJbd0uN0zbVyvpB7VSMsMHJKRSWhLzhteJJXdo111mzqDrLHF7WepshFUUf3IvAShr+JuR
1CqpknfGgIAnb0rFDeu2vdb1qbYlK7SgXXacgiLpIWp7c1XLcy6k1UobXcqr/8veeWS3raV5fCs+
NYf7IgODqgEBJmUrWprg0JYM4CLnsJtaQA16DW9j/aMs+Um26yW7+9SgObJF6RIEbvjCPyyxcIy9
YZYVvO9w9KZoeO9YSr2unJif5/xaUOBYHTX6mr2bjSDX7RVxwmWvqtGSs+NdCV9wI3L7HLdj2G0J
dUobI0Ck7FRqcEVXLBENOVItNMWbJBvfYTOcrbCQqpeNYC+cCH0UV57nGFWtRJhXXCr6AOYA3rAv
p3emHmEH0rjbppa9h+3AgMAgTjRKtJdnN6IdLLAJTBGOXEUwca7gUElxuwONWBWnmk5x05kcpJrb
3lgUWXdqNPI0VxPcqMNULCqt1pd66LyPAvneauzCT8QIC21Uz2HodysrofqFeCAMuqm9JVQ6KEwF
viARaA27NBUjJPVJQalycoY7KJSjXxGie0E5qGtdGW4KR5vJsGtAZnvl1ALKuIiATlnC2WmInsKe
Q3W2mHOvRs/4UjHkUVs1ow9S/9PcmjdkGA9jN5Y+YUDhj8I5TMzmk1SKE9MurxHfvG0wcL6KR6i0
eVL6QRBcD5iX+XslYN8qi5soyYTXhXifBLMEgkVAPVXLTKsRTwrs3KfycYTFfbvA2gi1SI2ZGSkD
dYic1MzIpLYSaQmvU+/lQRfgvmLhUc3k1UGnm9XdlA44FQe52Hu0nw96jGSmubby5qrZa5goyHVs
hzLBUTEe7qhDp8t8ds0T5Lyg/Q+5tkYKCJR5OpORxeaIzZbNTGnmkz5kemA1PHl1p9w1VeP6osP4
3HYzVoeWZ35p6ccoAq8SnTzDqWgI91L0x7qZ9msUR+pt045g4h25hGM2wcV0feQPV6qb3uRFthPQ
IEeLMMAMIzI7SQ8D4PtVZw06bu7EA6ndbudMfOiM8Rh1CGMR9Fp5o45DR6UcTeJCmYkdreFODcoS
cHt6IZvhVNat6pGvFkvUa9qDcIptX48se1NO6ipG4xwJ6RncW255nYg+aG78bsoKhK8jhaUf6flm
CGz70C0JB3PVqIiQYzTnDf6FF3S6riOD0vZY214pnNuoGygCG3Gz7nsTo6g4GYAuVZdp5uDMXWTE
cvGum2F3qhraiFIbSqQFoms8Cu0V4Zq5SC3ObjotHcIsDRZm5tpVDJ1cVvHrCCR9Hq6r1sBgx3SR
Aa7Fpqy7VZPQygxnXHm4o+j0TQftTMEiDk+NOa0Pk8gBJFzDrsYy91KEzZk7jni2J92dkif3lUA1
tB/ETR3I+6GajKMQQjIPdbwV6kTZZaxzny0rgT+cXeM6cFGkyK1jQfbJrkR/YPYaUuh6RMaN10Kl
B9dkZ+dKj4KJq7cbm0bWErFgmkNh9skoXOlXdL0Rn9nHglV7a5n0OucSVzWWN2sXJOIqEjjUFyV+
afibhPuwa8OKPe4MmPGWdSnG8aaccU3F2mAnC9z3lNRRFkKvMqzqqY3HdnabJDrySwLyKo+rOJgH
c9NoDnzZrGWCkccutHC4aPTmQxLWF0J33JWUbJNThpZDmcKHFYRYdj0h1l2Ox32WyZWmqSeBDlXC
gP55HAcG6aTDIrNIP2RtnZcxCaCltAc1rIy4J8uxm/5D3gbSa6f9kJrxfq4sgUU5ZS4RxT7JVbOv
26xpU3Pk5RJ3MbUStzTApF87LWgwu/jQ9fkWVZXKV6pxWCu0ChHt5ewAzuQApiTEzY3IukhqWgKY
AN9WyIcX+6olgsrbvUq+xcSmiLNSrebMbtwLjsWNVo33FtLKoeKsJv6xsJIWXa4ItQ5yTTfA4RcX
OlDKWy0MLzvTMRaiEcciCI+1bDxU8+7BdRBkKetTd7DuoCWXqFrr22SgmBChthWXIypmiXrrwrrz
x6SWIFulWNeVda2aVOiQzfgYdhLx8tZWFtjvUluizLVEYxwaVCMKElsmX4B542EhuLUmHN9tM0rt
fJqkfkkAM9Nzja+y0Ji3elE1Xty4ijfi5L4eChl6ajts40ocl73EN9I5IqI9jbJ46dbONs3Uw3bM
D21riBeYpiNDW0A+1ctdM1UHRsekmOxzvbE3LqUv2v/uqiljkBo1WikYv/bwtVXRVptsghGHbrPV
uds0tT4NppsdU27ZFZbI/Nzq0U9R50s5F6cOItPTII+HxloChmZ7CBKMSJTDZOjOBKR/prmGN4E4
6mr7zqV4YIW32XzqCr+vWqSwtWQbT91SKLpHNnVmjdZphviyEqkES1XxMekrAnh3XjSKeaYm8Rao
7QSXyfUTLVrnQYg6D5agY7MdHQFRaFhkwOpRs/ahs1+0RfzgGP2xqN1DlGh8cpfr3qDGKtP3Qxmd
V055j+OM37uRvezYyL1Qus1hS7XCg7ufep1hyAV09qMoqKgiWLdKT+hliAYf7FJdtB3bWxBa7/TB
vi/s8uMQU94sZILmhmsNmMLktK3V8CpT4JrKAd8Wx5rvMzyAlMrBW7CSt72BuFKqyPdRrgnPVdJb
g2zbp3B0EBbBXvd7uuzD6oLd+2ZUox1QgOtg3lcsrXcoBxzo2XCk7Wf4WICmnLP2Bsw14AsjXpgF
sgOin64Ti2Jsj87hokndG/yF8RDJr2ubwpXdwK8Yqo3EXrJMp6M+zUKPZX8Q2OYFhgqxF/edWJh4
BiKUYx9iq3eSZ81RMSJvHNeZL4U4iIR9pjoTegamfcY7zcLQ0zOsGJZstrgMoNmkWLC88qa4ZFPb
G7UUdM7gR2FVgdKS7VK+Fv2RWRoT1WlxQKz4oIzxxtS0E3xtDAToo8Yr7WAVluq1ErHlFUO9DtTg
HQ+sXAGDLb14VHdoTBmnNGVQAaGWRghmWBubgBj19n4d2d2wzrR8uKvUQUOyIGoWSqx2a9MB3p+F
xRlghJNgRhcpViu5AvTQrstOuTSjkXJRwT+kSiFaoD8doJFVpfa8QPWkBlGVvMO2QENiKKK0bh8P
EveERPQnMAfOcMm1OSXIR0vbuLecYC0d9vFGhGd0FTh70vHWxU8YE4NxWhrZeFl1TO4mPnetKPJs
e45pAbi4l5CI1qmkYFmU67bVw5VVOYoXhbALchz8NiS9S4SdRyJK49Z247P9SWv2EbhcXZw7WH+v
lKFDJUwbT+AoQ14Df7E0VHFiZOl9hU4YPY088K3WOGbXwSgiPs5kcG8Z8XsqFWdt7N7XGGSpVnBV
lbE/DVR5MpN17s6HSiLRWscoQDOktjAGG9/Z7sLqKaInRjz6MlTlUaMIBNpmYyMREMFyxkiRhpj7
FSCZW7vp7KU2hZQ06uC8JaPDpU+vDqqyySjuT+sIkHTnijvZzgQRLfsNG+Ens+1wBioTX8unT/og
r5KZ1oXWVpiPRE6/UMP5Y2z17klgaqpHrfcizQsN7fZO92SSYD+qmeMBfjtE8yUu3gZOBqawU282
sYNIQuMS+55oa1JJpV5VcKbnrPLJaidPttMyGKfzcdKwBFCd9wPpgTe68bYfKmeNe+eN0jVXSlMd
4xxU+0mnDACgQ2wx9Dw/oPCabupGT1cunu6QGTp9oaCnQieJIgVZZLCo4tDGIkRM6ao0u2k1TUW8
rdViOE2Yo1ePaff/VyH+RuMWwoa275r+13OS/00b+KwueuoQ8e7N/cObi11Ol3iZPuSvyhIvBnoq
TDjiLfgdh1a9blGV35cYnlrDjvpWqKpG/xmqgWUZgk9/qkso6ltogMhOueBjBCoLewHW58oEbWP+
BuUABuOvgCT9mcIEmJuvW8P7mohLEcYCEQ8B8SsAS+gQNunG4PpZUFVHQVSDWyjntVJrK4P7tqAb
8n7iiIR7n5H8ZjSLLdq2miVxX5D67GMCtc+GNDTIdTbaogLVrHBaoEAocQOR8SfpzgekMoHn1DPK
Rzps1tGgvlBLJVt35L5XyFUEHE+sIUxtMFzoB3WRquZlOMkHy5y1016vQDA4iL8EdA6bHKxX4npR
lhE7xYPu4Xu0kfnQQqWbOuS0S8VTnShfj5k80dUc++zZvYqkemiTjyPrR7s4JjBP2rD2ERX6OAjr
PJ73UnO5ezXEOLTYJleoq+zf7RhfsgNTfdAOh0FsDKcKyFljnw1kbeTjuWKoH6rQve+6+FTLS/d0
bmSNFbjbbZCymxahM5crkMUJpz9ySbFVpUDVgm5ZazD9RnKdtrdQL7TLbKnSBalCRdtauQWMkB5g
nNT3+phTplVKDuomjo5iTREEGtW0cKQdLZXW0XxiMMNrAnrLmYr0UQPoMZyqRWThjFCO4jgpshUx
32XXT6cGhlGLSauAJqrFdZ71lm/I4gidndQ3kZBaiaaiZ5PQeVa1W8OJzkIbfwZhFO1JbQQf4S1X
fsWtVYA2IjTHs6ssdEodGa6MplpPYXTSyup0pKuxMvrhBleG66I2Ok+6+1pOxOY668F5lOrnpaHf
gK8plmatXhJAnzu2+64pi2aVR2bmqaW2Bmv5CU/i8xxmv8eVaR503JhKOlx3HGmzTxRDrugyz3dT
EO7T3XlkfiD7eNfC21lJ3MpXaAUdBIoZoIGJVVQX00u28DvwXDcSGzWggqU0dAnhpS2oCAXrSDPC
42popE9scheLeivseBPbMO6RlKG+0V04NI4mQYulxEgPd69Nq0LZFcYKQ1ZwDSPnKSnCFU3q873S
aiPVjISluoFfT/bTWXd53J9K3LWD0Xivl/oRHXc6PuR1RUkXIK7rA2NoNpoSHmJdu5lCayMLuQEE
5k1YQ2u1866WJVV97NMmmnYkatoHMYRnxWTeqlI/pWkpPScD8A/w5zwKEAVV1U2cu0ezo59A6D+0
pvxTYfUnqd2/b0xL+E7UHbhacd8N9XJyO6/tKgC6ZkWlD9u2Puof6gpjlzwL0W5ru4OxSU7KaUou
p6HQr8PJHRGhsnvud1MR7IpwldTje+i+NWU324GSvpfE2YRt62wk6IIDZaIDNmiF6Y0AP/Rpwlop
BwLfwoaNC/UCux7FK8f8I61E/HOx6cktbK9TPJdXTthhcaJi4Qxt9sTtLXlSZRX2VI4xlxdyxE8N
/yIXe2AXJldVb0Yj+YR14cpwFW2lBPFRWhQZ7REX3TFJSawL4sBPTQuf1tE+Q861W9qRlp5q7DO+
Xk5rFEHueC6+C3NCWmJtd2wkwjnLXeKhwho/uDYuh0mQ3RpNexZXBulI605bu3JOWlxT6ulB8udR
0en+UJdHQ2+fzKbAoDjcgm63/FYqHfIBqLIq6mGUBCfuwOpqJ/uiUuRpM2CrpZV3TpyjlaBKE9WG
AKEygRmhYpEw4MdYoro/zeeNjJDcIrbDgKqnQlmXXl02GGal+A/xR/OdLqfG9KJ4OrJl1N1Qw9tQ
06Fza7Ksgiww0dqhh1e7yanS96uwyNJTxcnGFZKCvnBKevaqZvkuhYFbZEuQda3GuG1XLw7Z71TO
H3G1v8ICLQrnFBocm0xLNQBQfQ2pD1rHyWA2un7r977wpiXepZA9jEsXXShl6+Xe78Lo96yYrz4S
XJiO1jQqOeY3+ohjS/kJaJbr7x1EhRdv8MDztO2wwgDq8Hc5A/sD9sWnoQBkQxh1YLLYQt8rAvH+
CyBfkNmBCGaLIuNBesY2sc6QE4F1eFBts5U8ji9+9/sRdPz7T+TrfQVp5OBA/EXlE+2LbglTZ+OW
68UceL3XL01PUJHEafQznPRPRY//W+DAFzjCb9CBX7o0+4COImLeXhZ/7ZdeRobfDvTH4IYqnACb
MOvFGvhyXY94x98aJt0Bi+zugSSCHbTgPLkWfaTPLyZNWuTh8/tAEoWATGao5pf3CW1f3Khvv8G3
UMu/9ju/9RU+YzK393//2+MCc5h5ryLux0/8MzdCfwvcEkzjHv766ga4NAR1HRIQ4ff+xRr4z7oB
T1Pha+jpn74Dxlthag45AQTwxxe72dd3QphUB2lxPL4+T77/oKnw+U5oP3onxFs6uHxLAK5PLyga
r+6E81aHkO9oAHIfX58/8f/+TnwsOtx2wTaHcZG/bGtbf3Bj+GqAFxuD+pYjxN5T4L767u5byBZ8
b+1pmrBh/GetB6yzvwMF+NPLQbAcOEsBAnx5fbs3opJLu995mil/Yhr8gbny5cAhdErvH4+a+KF5
AWb/3V94Pmi+HeBpa93vn0yVV7+3x7l/HvnzHrv//z9ewd4fd/8Xbz6fBo8f8/TnT9/v209+9VnP
X+r5h5v4od7VH6Pp8Y3p6So/o+cvuxzBkl3U7V5OdB42JQzW56/X8w1I/8vB8FvD/w465N9TAP7Q
6GuQ/7vm+Sqfji0Nxs/zj77LLvhDQy+bjJuW3n87vLsX/fvR+7JM35zWxfM4rw7cHx2ayZF9KOrd
/PXwkCBYaj86/G/QLX7waXr7ORo/X+H+njydPOy6P3rV2+zD7gPz/HmkF6Ozvfzo6Bfdxy778Mu/
ildz8enqf8IqOt7lO4Z/vtAXF+8+/+yvz/STXflqpjwFPj9hDXlFW5S78TuP9GdMxLNd0+7m7zzR
Pev3R5/oUdG8Of/+A92Hsj86PKqPv/yr39XPI/36RHUCgx8d3dv98t/fHZsg+0fHPkZNOt89Ftjj
Xfi9ifMTVutRIb/3XH/CSr3bZWyNb9gjgSzG5cPzDXnxAH7Cel3v0l/+WXJ7vrMf6D9hyb5ob7x5
6nu8/ia/Nkx+9HnvP6p44xfw88Ji31pJWRmXzS//5Palrw/H5+7KT3hMp/UDQnOvmzf7fgvlHpe2
Ctw7ei579Yjf/nrfC5e+ZNnMge/Gf7/7C4Rx+4E/pg+7+h//AwAA//8=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96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>
            <a:lumMod val="65000"/>
            <a:lumOff val="35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1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chart" Target="../charts/chart8.xml"/><Relationship Id="rId4" Type="http://schemas.openxmlformats.org/officeDocument/2006/relationships/image" Target="../media/image1.png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sv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svg"/><Relationship Id="rId1" Type="http://schemas.openxmlformats.org/officeDocument/2006/relationships/image" Target="../media/image8.png"/><Relationship Id="rId6" Type="http://schemas.openxmlformats.org/officeDocument/2006/relationships/image" Target="../media/image13.svg"/><Relationship Id="rId5" Type="http://schemas.openxmlformats.org/officeDocument/2006/relationships/image" Target="../media/image12.png"/><Relationship Id="rId4" Type="http://schemas.openxmlformats.org/officeDocument/2006/relationships/image" Target="../media/image11.sv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1.xml"/><Relationship Id="rId7" Type="http://schemas.openxmlformats.org/officeDocument/2006/relationships/chart" Target="../charts/chart14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microsoft.com/office/2014/relationships/chartEx" Target="../charts/chartEx2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413174</xdr:colOff>
      <xdr:row>0</xdr:row>
      <xdr:rowOff>153368</xdr:rowOff>
    </xdr:from>
    <xdr:to>
      <xdr:col>19</xdr:col>
      <xdr:colOff>0</xdr:colOff>
      <xdr:row>44</xdr:row>
      <xdr:rowOff>118534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3174" y="153368"/>
          <a:ext cx="14708293" cy="8778966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502208</xdr:colOff>
      <xdr:row>0</xdr:row>
      <xdr:rowOff>254001</xdr:rowOff>
    </xdr:from>
    <xdr:to>
      <xdr:col>18</xdr:col>
      <xdr:colOff>717261</xdr:colOff>
      <xdr:row>44</xdr:row>
      <xdr:rowOff>29027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2208" y="254001"/>
          <a:ext cx="14540653" cy="858882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118534</xdr:colOff>
      <xdr:row>4</xdr:row>
      <xdr:rowOff>101600</xdr:rowOff>
    </xdr:from>
    <xdr:to>
      <xdr:col>14</xdr:col>
      <xdr:colOff>652781</xdr:colOff>
      <xdr:row>43</xdr:row>
      <xdr:rowOff>42334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506134" y="1464733"/>
          <a:ext cx="9288780" cy="7205134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259080</xdr:colOff>
      <xdr:row>6</xdr:row>
      <xdr:rowOff>168911</xdr:rowOff>
    </xdr:from>
    <xdr:to>
      <xdr:col>6</xdr:col>
      <xdr:colOff>7620</xdr:colOff>
      <xdr:row>13</xdr:row>
      <xdr:rowOff>184152</xdr:rowOff>
    </xdr:to>
    <xdr:sp macro="" textlink="">
      <xdr:nvSpPr>
        <xdr:cNvPr id="6" name="Rectángulo: esquinas redondeadas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46680" y="1904578"/>
          <a:ext cx="2136140" cy="1319107"/>
        </a:xfrm>
        <a:prstGeom prst="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187678</xdr:colOff>
      <xdr:row>6</xdr:row>
      <xdr:rowOff>168911</xdr:rowOff>
    </xdr:from>
    <xdr:to>
      <xdr:col>8</xdr:col>
      <xdr:colOff>728698</xdr:colOff>
      <xdr:row>13</xdr:row>
      <xdr:rowOff>184152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62878" y="1904578"/>
          <a:ext cx="2132753" cy="1319107"/>
        </a:xfrm>
        <a:prstGeom prst="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112889</xdr:colOff>
      <xdr:row>6</xdr:row>
      <xdr:rowOff>168911</xdr:rowOff>
    </xdr:from>
    <xdr:to>
      <xdr:col>11</xdr:col>
      <xdr:colOff>653909</xdr:colOff>
      <xdr:row>13</xdr:row>
      <xdr:rowOff>184152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75689" y="1904578"/>
          <a:ext cx="2132753" cy="1319107"/>
        </a:xfrm>
        <a:prstGeom prst="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38100</xdr:colOff>
      <xdr:row>6</xdr:row>
      <xdr:rowOff>168911</xdr:rowOff>
    </xdr:from>
    <xdr:to>
      <xdr:col>14</xdr:col>
      <xdr:colOff>579120</xdr:colOff>
      <xdr:row>13</xdr:row>
      <xdr:rowOff>184152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588500" y="1904578"/>
          <a:ext cx="2132753" cy="1319107"/>
        </a:xfrm>
        <a:prstGeom prst="rect">
          <a:avLst/>
        </a:prstGeom>
        <a:gradFill flip="none" rotWithShape="1">
          <a:gsLst>
            <a:gs pos="0">
              <a:schemeClr val="bg1">
                <a:lumMod val="85000"/>
              </a:schemeClr>
            </a:gs>
            <a:gs pos="58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300567</xdr:colOff>
      <xdr:row>16</xdr:row>
      <xdr:rowOff>19050</xdr:rowOff>
    </xdr:from>
    <xdr:to>
      <xdr:col>14</xdr:col>
      <xdr:colOff>440267</xdr:colOff>
      <xdr:row>26</xdr:row>
      <xdr:rowOff>0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88167" y="3617383"/>
          <a:ext cx="8894233" cy="1843617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274319</xdr:colOff>
      <xdr:row>26</xdr:row>
      <xdr:rowOff>141514</xdr:rowOff>
    </xdr:from>
    <xdr:to>
      <xdr:col>6</xdr:col>
      <xdr:colOff>239486</xdr:colOff>
      <xdr:row>42</xdr:row>
      <xdr:rowOff>81280</xdr:rowOff>
    </xdr:to>
    <xdr:sp macro="" textlink="">
      <xdr:nvSpPr>
        <xdr:cNvPr id="11" name="Rectángulo: esquinas redondeadas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661919" y="4984447"/>
          <a:ext cx="2352767" cy="2920033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365760</xdr:colOff>
      <xdr:row>26</xdr:row>
      <xdr:rowOff>179070</xdr:rowOff>
    </xdr:from>
    <xdr:to>
      <xdr:col>14</xdr:col>
      <xdr:colOff>594360</xdr:colOff>
      <xdr:row>42</xdr:row>
      <xdr:rowOff>96520</xdr:rowOff>
    </xdr:to>
    <xdr:sp macro="" textlink="">
      <xdr:nvSpPr>
        <xdr:cNvPr id="12" name="Rectángulo: esquinas redondeadas 1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120640" y="4933950"/>
          <a:ext cx="6568440" cy="28435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795866</xdr:colOff>
      <xdr:row>4</xdr:row>
      <xdr:rowOff>169952</xdr:rowOff>
    </xdr:from>
    <xdr:to>
      <xdr:col>18</xdr:col>
      <xdr:colOff>618067</xdr:colOff>
      <xdr:row>11</xdr:row>
      <xdr:rowOff>76199</xdr:rowOff>
    </xdr:to>
    <xdr:sp macro="" textlink="">
      <xdr:nvSpPr>
        <xdr:cNvPr id="14" name="Rectángulo: esquinas redondeadas 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937999" y="1533085"/>
          <a:ext cx="3005668" cy="1210114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754380</xdr:colOff>
      <xdr:row>11</xdr:row>
      <xdr:rowOff>148590</xdr:rowOff>
    </xdr:from>
    <xdr:to>
      <xdr:col>18</xdr:col>
      <xdr:colOff>567267</xdr:colOff>
      <xdr:row>31</xdr:row>
      <xdr:rowOff>152400</xdr:rowOff>
    </xdr:to>
    <xdr:sp macro="" textlink="">
      <xdr:nvSpPr>
        <xdr:cNvPr id="15" name="Rectángulo: esquinas redondeadas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849100" y="2160270"/>
          <a:ext cx="2982807" cy="3661410"/>
        </a:xfrm>
        <a:prstGeom prst="roundRect">
          <a:avLst>
            <a:gd name="adj" fmla="val 1318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761998</xdr:colOff>
      <xdr:row>31</xdr:row>
      <xdr:rowOff>176893</xdr:rowOff>
    </xdr:from>
    <xdr:to>
      <xdr:col>18</xdr:col>
      <xdr:colOff>552449</xdr:colOff>
      <xdr:row>42</xdr:row>
      <xdr:rowOff>163286</xdr:rowOff>
    </xdr:to>
    <xdr:sp macro="" textlink="">
      <xdr:nvSpPr>
        <xdr:cNvPr id="16" name="Rectángulo: esquinas redondeadas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904131" y="6569226"/>
          <a:ext cx="2973918" cy="2035327"/>
        </a:xfrm>
        <a:prstGeom prst="roundRect">
          <a:avLst>
            <a:gd name="adj" fmla="val 1318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498239</xdr:colOff>
      <xdr:row>5</xdr:row>
      <xdr:rowOff>31326</xdr:rowOff>
    </xdr:from>
    <xdr:to>
      <xdr:col>5</xdr:col>
      <xdr:colOff>0</xdr:colOff>
      <xdr:row>6</xdr:row>
      <xdr:rowOff>143932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885839" y="1580726"/>
          <a:ext cx="1093494" cy="298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Morbilidad</a:t>
          </a:r>
        </a:p>
      </xdr:txBody>
    </xdr:sp>
    <xdr:clientData/>
  </xdr:twoCellAnchor>
  <xdr:twoCellAnchor>
    <xdr:from>
      <xdr:col>3</xdr:col>
      <xdr:colOff>601335</xdr:colOff>
      <xdr:row>14</xdr:row>
      <xdr:rowOff>94765</xdr:rowOff>
    </xdr:from>
    <xdr:to>
      <xdr:col>7</xdr:col>
      <xdr:colOff>0</xdr:colOff>
      <xdr:row>16</xdr:row>
      <xdr:rowOff>183154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988935" y="3320565"/>
          <a:ext cx="2582132" cy="4609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Kardex - Medicamentos</a:t>
          </a:r>
        </a:p>
      </xdr:txBody>
    </xdr:sp>
    <xdr:clientData/>
  </xdr:twoCellAnchor>
  <xdr:twoCellAnchor>
    <xdr:from>
      <xdr:col>0</xdr:col>
      <xdr:colOff>542970</xdr:colOff>
      <xdr:row>5</xdr:row>
      <xdr:rowOff>127228</xdr:rowOff>
    </xdr:from>
    <xdr:to>
      <xdr:col>2</xdr:col>
      <xdr:colOff>439176</xdr:colOff>
      <xdr:row>7</xdr:row>
      <xdr:rowOff>120389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542970" y="1676628"/>
          <a:ext cx="1487939" cy="365694"/>
          <a:chOff x="410651" y="2273080"/>
          <a:chExt cx="1406859" cy="358998"/>
        </a:xfrm>
      </xdr:grpSpPr>
      <xdr:sp macro="" textlink="">
        <xdr:nvSpPr>
          <xdr:cNvPr id="31" name="Rectángulo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410651" y="2273080"/>
            <a:ext cx="43228" cy="358998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32" name="CuadroTexto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529630" y="2288606"/>
            <a:ext cx="128788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200" b="1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Mes</a:t>
            </a:r>
          </a:p>
        </xdr:txBody>
      </xdr:sp>
    </xdr:grpSp>
    <xdr:clientData/>
  </xdr:twoCellAnchor>
  <xdr:twoCellAnchor>
    <xdr:from>
      <xdr:col>0</xdr:col>
      <xdr:colOff>542970</xdr:colOff>
      <xdr:row>20</xdr:row>
      <xdr:rowOff>181881</xdr:rowOff>
    </xdr:from>
    <xdr:to>
      <xdr:col>2</xdr:col>
      <xdr:colOff>279261</xdr:colOff>
      <xdr:row>22</xdr:row>
      <xdr:rowOff>159750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542970" y="4525281"/>
          <a:ext cx="1328024" cy="350402"/>
          <a:chOff x="413237" y="2313330"/>
          <a:chExt cx="940351" cy="346050"/>
        </a:xfrm>
      </xdr:grpSpPr>
      <xdr:sp macro="" textlink="">
        <xdr:nvSpPr>
          <xdr:cNvPr id="34" name="Rectángulo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413237" y="2313330"/>
            <a:ext cx="32373" cy="34605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>
              <a:solidFill>
                <a:srgbClr val="0070C0"/>
              </a:solidFill>
            </a:endParaRPr>
          </a:p>
        </xdr:txBody>
      </xdr:sp>
      <xdr:sp macro="" textlink="">
        <xdr:nvSpPr>
          <xdr:cNvPr id="35" name="CuadroTexto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484908" y="2313647"/>
            <a:ext cx="86868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200" b="1">
                <a:solidFill>
                  <a:schemeClr val="tx1">
                    <a:lumMod val="75000"/>
                    <a:lumOff val="2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Proyecto</a:t>
            </a:r>
          </a:p>
        </xdr:txBody>
      </xdr:sp>
    </xdr:grpSp>
    <xdr:clientData/>
  </xdr:twoCellAnchor>
  <xdr:twoCellAnchor>
    <xdr:from>
      <xdr:col>4</xdr:col>
      <xdr:colOff>592666</xdr:colOff>
      <xdr:row>7</xdr:row>
      <xdr:rowOff>25611</xdr:rowOff>
    </xdr:from>
    <xdr:to>
      <xdr:col>6</xdr:col>
      <xdr:colOff>39703</xdr:colOff>
      <xdr:row>10</xdr:row>
      <xdr:rowOff>33867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776133" y="1947544"/>
          <a:ext cx="1038770" cy="567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200" b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Enfermedad Común</a:t>
          </a:r>
        </a:p>
      </xdr:txBody>
    </xdr:sp>
    <xdr:clientData/>
  </xdr:twoCellAnchor>
  <xdr:twoCellAnchor>
    <xdr:from>
      <xdr:col>7</xdr:col>
      <xdr:colOff>517915</xdr:colOff>
      <xdr:row>7</xdr:row>
      <xdr:rowOff>14735</xdr:rowOff>
    </xdr:from>
    <xdr:to>
      <xdr:col>8</xdr:col>
      <xdr:colOff>777953</xdr:colOff>
      <xdr:row>9</xdr:row>
      <xdr:rowOff>101600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088982" y="1936668"/>
          <a:ext cx="1055904" cy="459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200" b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Enfermedad</a:t>
          </a:r>
          <a:r>
            <a:rPr lang="es-CO" sz="12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Ocupacional</a:t>
          </a:r>
          <a:endParaRPr lang="es-CO" sz="1200" b="0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460298</xdr:colOff>
      <xdr:row>7</xdr:row>
      <xdr:rowOff>23201</xdr:rowOff>
    </xdr:from>
    <xdr:to>
      <xdr:col>11</xdr:col>
      <xdr:colOff>673124</xdr:colOff>
      <xdr:row>9</xdr:row>
      <xdr:rowOff>152400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418965" y="1945134"/>
          <a:ext cx="1008692" cy="501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200" b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Primer</a:t>
          </a:r>
          <a:r>
            <a:rPr lang="es-CO" sz="12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Auxilio</a:t>
          </a:r>
          <a:endParaRPr lang="es-CO" sz="1200" b="0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355469</xdr:colOff>
      <xdr:row>6</xdr:row>
      <xdr:rowOff>184067</xdr:rowOff>
    </xdr:from>
    <xdr:to>
      <xdr:col>14</xdr:col>
      <xdr:colOff>568829</xdr:colOff>
      <xdr:row>9</xdr:row>
      <xdr:rowOff>110066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701736" y="1919734"/>
          <a:ext cx="1009226" cy="48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200" b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Incidente de Trabajo</a:t>
          </a: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666113</xdr:colOff>
      <xdr:row>11</xdr:row>
      <xdr:rowOff>38100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979333" y="2480733"/>
          <a:ext cx="666113" cy="224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6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CANTIDAD</a:t>
          </a:r>
        </a:p>
      </xdr:txBody>
    </xdr:sp>
    <xdr:clientData/>
  </xdr:twoCellAnchor>
  <xdr:twoCellAnchor>
    <xdr:from>
      <xdr:col>7</xdr:col>
      <xdr:colOff>615154</xdr:colOff>
      <xdr:row>10</xdr:row>
      <xdr:rowOff>0</xdr:rowOff>
    </xdr:from>
    <xdr:to>
      <xdr:col>8</xdr:col>
      <xdr:colOff>617930</xdr:colOff>
      <xdr:row>11</xdr:row>
      <xdr:rowOff>38100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186221" y="2480733"/>
          <a:ext cx="798642" cy="224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6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CANTIDAD</a:t>
          </a:r>
        </a:p>
      </xdr:txBody>
    </xdr:sp>
    <xdr:clientData/>
  </xdr:twoCellAnchor>
  <xdr:twoCellAnchor>
    <xdr:from>
      <xdr:col>10</xdr:col>
      <xdr:colOff>566971</xdr:colOff>
      <xdr:row>10</xdr:row>
      <xdr:rowOff>0</xdr:rowOff>
    </xdr:from>
    <xdr:to>
      <xdr:col>11</xdr:col>
      <xdr:colOff>566972</xdr:colOff>
      <xdr:row>11</xdr:row>
      <xdr:rowOff>38100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525638" y="2480733"/>
          <a:ext cx="795867" cy="224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6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CANTIDAD</a:t>
          </a:r>
        </a:p>
      </xdr:txBody>
    </xdr:sp>
    <xdr:clientData/>
  </xdr:twoCellAnchor>
  <xdr:twoCellAnchor>
    <xdr:from>
      <xdr:col>13</xdr:col>
      <xdr:colOff>516013</xdr:colOff>
      <xdr:row>10</xdr:row>
      <xdr:rowOff>0</xdr:rowOff>
    </xdr:from>
    <xdr:to>
      <xdr:col>14</xdr:col>
      <xdr:colOff>516014</xdr:colOff>
      <xdr:row>11</xdr:row>
      <xdr:rowOff>38100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862280" y="2480733"/>
          <a:ext cx="795867" cy="224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6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CANTIDAD</a:t>
          </a:r>
        </a:p>
      </xdr:txBody>
    </xdr:sp>
    <xdr:clientData/>
  </xdr:twoCellAnchor>
  <xdr:twoCellAnchor>
    <xdr:from>
      <xdr:col>15</xdr:col>
      <xdr:colOff>11723</xdr:colOff>
      <xdr:row>5</xdr:row>
      <xdr:rowOff>118402</xdr:rowOff>
    </xdr:from>
    <xdr:to>
      <xdr:col>18</xdr:col>
      <xdr:colOff>615462</xdr:colOff>
      <xdr:row>7</xdr:row>
      <xdr:rowOff>11722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1949723" y="1667802"/>
          <a:ext cx="2991339" cy="265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Global</a:t>
          </a:r>
          <a:r>
            <a:rPr lang="es-CO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atenciones</a:t>
          </a:r>
          <a:endParaRPr lang="es-CO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280310</xdr:colOff>
      <xdr:row>12</xdr:row>
      <xdr:rowOff>6774</xdr:rowOff>
    </xdr:from>
    <xdr:to>
      <xdr:col>17</xdr:col>
      <xdr:colOff>525780</xdr:colOff>
      <xdr:row>14</xdr:row>
      <xdr:rowOff>169334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12218310" y="2860041"/>
          <a:ext cx="1837203" cy="535093"/>
          <a:chOff x="413237" y="2324100"/>
          <a:chExt cx="1590823" cy="522885"/>
        </a:xfrm>
      </xdr:grpSpPr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413237" y="2362200"/>
            <a:ext cx="31346" cy="25200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000"/>
          </a:p>
        </xdr:txBody>
      </xdr:sp>
      <xdr:sp macro="" textlink="">
        <xdr:nvSpPr>
          <xdr:cNvPr id="47" name="CuadroTexto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/>
        </xdr:nvSpPr>
        <xdr:spPr>
          <a:xfrm>
            <a:off x="457200" y="2324100"/>
            <a:ext cx="1546860" cy="5228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200" b="1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Morbilidad por</a:t>
            </a:r>
            <a:r>
              <a:rPr lang="es-CO" sz="1200" b="1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Centro de Trabajo</a:t>
            </a:r>
            <a:endParaRPr lang="es-CO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14</xdr:col>
      <xdr:colOff>769472</xdr:colOff>
      <xdr:row>32</xdr:row>
      <xdr:rowOff>133894</xdr:rowOff>
    </xdr:from>
    <xdr:to>
      <xdr:col>17</xdr:col>
      <xdr:colOff>411480</xdr:colOff>
      <xdr:row>34</xdr:row>
      <xdr:rowOff>56057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11911605" y="6712494"/>
          <a:ext cx="2029608" cy="294696"/>
          <a:chOff x="413237" y="2324097"/>
          <a:chExt cx="1590823" cy="290103"/>
        </a:xfrm>
      </xdr:grpSpPr>
      <xdr:sp macro="" textlink="">
        <xdr:nvSpPr>
          <xdr:cNvPr id="49" name="Rectángulo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413237" y="2362200"/>
            <a:ext cx="31346" cy="252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000"/>
          </a:p>
        </xdr:txBody>
      </xdr:sp>
      <xdr:sp macro="" textlink="">
        <xdr:nvSpPr>
          <xdr:cNvPr id="50" name="CuadroTexto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>
          <a:xfrm>
            <a:off x="457200" y="2324097"/>
            <a:ext cx="1546860" cy="2667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2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Morbilidad por Sexo</a:t>
            </a:r>
          </a:p>
        </xdr:txBody>
      </xdr:sp>
    </xdr:grpSp>
    <xdr:clientData/>
  </xdr:twoCellAnchor>
  <xdr:twoCellAnchor>
    <xdr:from>
      <xdr:col>10</xdr:col>
      <xdr:colOff>209550</xdr:colOff>
      <xdr:row>27</xdr:row>
      <xdr:rowOff>75353</xdr:rowOff>
    </xdr:from>
    <xdr:to>
      <xdr:col>14</xdr:col>
      <xdr:colOff>419101</xdr:colOff>
      <xdr:row>28</xdr:row>
      <xdr:rowOff>185420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168217" y="5722620"/>
          <a:ext cx="3393017" cy="296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O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Total Atenciones por Categoria</a:t>
          </a:r>
        </a:p>
      </xdr:txBody>
    </xdr:sp>
    <xdr:clientData/>
  </xdr:twoCellAnchor>
  <xdr:twoCellAnchor>
    <xdr:from>
      <xdr:col>3</xdr:col>
      <xdr:colOff>186266</xdr:colOff>
      <xdr:row>7</xdr:row>
      <xdr:rowOff>14385</xdr:rowOff>
    </xdr:from>
    <xdr:to>
      <xdr:col>5</xdr:col>
      <xdr:colOff>216951</xdr:colOff>
      <xdr:row>13</xdr:row>
      <xdr:rowOff>160867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427566</xdr:colOff>
      <xdr:row>9</xdr:row>
      <xdr:rowOff>143933</xdr:rowOff>
    </xdr:from>
    <xdr:to>
      <xdr:col>13</xdr:col>
      <xdr:colOff>237066</xdr:colOff>
      <xdr:row>11</xdr:row>
      <xdr:rowOff>143933</xdr:rowOff>
    </xdr:to>
    <xdr:sp macro="" textlink="'TAB DINAMICA'!P6">
      <xdr:nvSpPr>
        <xdr:cNvPr id="57" name="CuadroText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977966" y="2438400"/>
          <a:ext cx="605367" cy="3725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04602F8-5D72-4853-B832-CF2AED683BAE}" type="TxLink">
            <a:rPr lang="en-US" sz="1050" b="1" i="0" u="none" strike="noStrike">
              <a:solidFill>
                <a:schemeClr val="tx2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#¡DIV/0!</a:t>
          </a:fld>
          <a:endParaRPr lang="es-ES" sz="105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262467</xdr:colOff>
      <xdr:row>9</xdr:row>
      <xdr:rowOff>0</xdr:rowOff>
    </xdr:from>
    <xdr:to>
      <xdr:col>6</xdr:col>
      <xdr:colOff>210820</xdr:colOff>
      <xdr:row>11</xdr:row>
      <xdr:rowOff>123614</xdr:rowOff>
    </xdr:to>
    <xdr:sp macro="" textlink="'TAB DINAMICA'!O3">
      <xdr:nvSpPr>
        <xdr:cNvPr id="61" name="CuadroText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241800" y="2294467"/>
          <a:ext cx="744220" cy="496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CD7C94A-ACFB-43D3-87B0-4F1EDBE99FF5}" type="TxLink"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0</a:t>
          </a:fld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339161</xdr:colOff>
      <xdr:row>9</xdr:row>
      <xdr:rowOff>13229</xdr:rowOff>
    </xdr:from>
    <xdr:to>
      <xdr:col>9</xdr:col>
      <xdr:colOff>124319</xdr:colOff>
      <xdr:row>11</xdr:row>
      <xdr:rowOff>110384</xdr:rowOff>
    </xdr:to>
    <xdr:sp macro="" textlink="'TAB DINAMICA'!O4">
      <xdr:nvSpPr>
        <xdr:cNvPr id="62" name="CuadroTexto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06094" y="2307696"/>
          <a:ext cx="581025" cy="469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AF4905F-7E7F-46DD-9EF8-BB1E6238565A}" type="TxLink"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0</a:t>
          </a:fld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252660</xdr:colOff>
      <xdr:row>9</xdr:row>
      <xdr:rowOff>9419</xdr:rowOff>
    </xdr:from>
    <xdr:to>
      <xdr:col>12</xdr:col>
      <xdr:colOff>62159</xdr:colOff>
      <xdr:row>11</xdr:row>
      <xdr:rowOff>114194</xdr:rowOff>
    </xdr:to>
    <xdr:sp macro="" textlink="'TAB DINAMICA'!O5">
      <xdr:nvSpPr>
        <xdr:cNvPr id="63" name="CuadroTexto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9007193" y="2303886"/>
          <a:ext cx="605366" cy="477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94CF9BC-B845-48D9-83AE-27CAAC1F4106}" type="TxLink"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0</a:t>
          </a:fld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190501</xdr:colOff>
      <xdr:row>9</xdr:row>
      <xdr:rowOff>20849</xdr:rowOff>
    </xdr:from>
    <xdr:to>
      <xdr:col>15</xdr:col>
      <xdr:colOff>0</xdr:colOff>
      <xdr:row>11</xdr:row>
      <xdr:rowOff>102764</xdr:rowOff>
    </xdr:to>
    <xdr:sp macro="" textlink="'TAB DINAMICA'!O6">
      <xdr:nvSpPr>
        <xdr:cNvPr id="64" name="CuadroText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1332634" y="2315316"/>
          <a:ext cx="605366" cy="454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16A1D70-C25F-4503-8395-0996FE6ACC62}" type="TxLink">
            <a:rPr lang="en-US" sz="1200" b="0" i="0" u="none" strike="noStrike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0</a:t>
          </a:fld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5861</xdr:colOff>
      <xdr:row>6</xdr:row>
      <xdr:rowOff>135506</xdr:rowOff>
    </xdr:from>
    <xdr:to>
      <xdr:col>17</xdr:col>
      <xdr:colOff>621324</xdr:colOff>
      <xdr:row>10</xdr:row>
      <xdr:rowOff>15915</xdr:rowOff>
    </xdr:to>
    <xdr:sp macro="" textlink="'TAB DINAMICA'!O7">
      <xdr:nvSpPr>
        <xdr:cNvPr id="65" name="CuadroTexto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739728" y="1871173"/>
          <a:ext cx="1411329" cy="625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499046D-443A-4CDE-90C7-478AB17BD68F}" type="TxLink">
            <a:rPr lang="en-US" sz="3600" b="1" i="0" u="none" strike="noStrike">
              <a:solidFill>
                <a:schemeClr val="bg1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0</a:t>
          </a:fld>
          <a:endParaRPr lang="es-ES" sz="3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378619</xdr:colOff>
      <xdr:row>28</xdr:row>
      <xdr:rowOff>110014</xdr:rowOff>
    </xdr:from>
    <xdr:to>
      <xdr:col>14</xdr:col>
      <xdr:colOff>476249</xdr:colOff>
      <xdr:row>30</xdr:row>
      <xdr:rowOff>33814</xdr:rowOff>
    </xdr:to>
    <xdr:sp macro="" textlink="#REF!">
      <xdr:nvSpPr>
        <xdr:cNvPr id="66" name="CuadroTexto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303419" y="5230654"/>
          <a:ext cx="326755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D015F084-6BA5-4EDB-ADF2-D92B7A3BFC6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 </a:t>
          </a:fld>
          <a:endParaRPr lang="es-CO" sz="1600" b="1">
            <a:solidFill>
              <a:srgbClr val="002060"/>
            </a:solidFill>
          </a:endParaRPr>
        </a:p>
      </xdr:txBody>
    </xdr:sp>
    <xdr:clientData/>
  </xdr:twoCellAnchor>
  <xdr:twoCellAnchor>
    <xdr:from>
      <xdr:col>17</xdr:col>
      <xdr:colOff>518315</xdr:colOff>
      <xdr:row>35</xdr:row>
      <xdr:rowOff>37045</xdr:rowOff>
    </xdr:from>
    <xdr:to>
      <xdr:col>18</xdr:col>
      <xdr:colOff>569115</xdr:colOff>
      <xdr:row>37</xdr:row>
      <xdr:rowOff>118538</xdr:rowOff>
    </xdr:to>
    <xdr:sp macro="" textlink="'TAB DINAMICA'!H4">
      <xdr:nvSpPr>
        <xdr:cNvPr id="67" name="CuadroText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4048048" y="7174445"/>
          <a:ext cx="846667" cy="454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BB8D86-F21F-4F60-AC70-81ADABBC28A9}" type="TxLink">
            <a:rPr lang="en-US" sz="1800" b="1" i="0" u="none" strike="noStrike">
              <a:solidFill>
                <a:srgbClr val="CD6155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#¡DIV/0!</a:t>
          </a:fld>
          <a:endParaRPr lang="es-EC" sz="1800" b="1">
            <a:solidFill>
              <a:srgbClr val="CD6155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547949</xdr:colOff>
      <xdr:row>37</xdr:row>
      <xdr:rowOff>160868</xdr:rowOff>
    </xdr:from>
    <xdr:to>
      <xdr:col>18</xdr:col>
      <xdr:colOff>624150</xdr:colOff>
      <xdr:row>40</xdr:row>
      <xdr:rowOff>93136</xdr:rowOff>
    </xdr:to>
    <xdr:sp macro="" textlink="'TAB DINAMICA'!H3">
      <xdr:nvSpPr>
        <xdr:cNvPr id="68" name="CuadroTexto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4077682" y="7670801"/>
          <a:ext cx="872068" cy="491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176D30-3935-406C-B2FC-E8C82D6A6ABB}" type="TxLink">
            <a:rPr lang="en-US" sz="1800" b="1" i="0" u="none" strike="noStrike">
              <a:solidFill>
                <a:srgbClr val="2980B9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t>#¡DIV/0!</a:t>
          </a:fld>
          <a:endParaRPr lang="es-EC" sz="1800" b="1">
            <a:solidFill>
              <a:srgbClr val="2980B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413871</xdr:colOff>
      <xdr:row>27</xdr:row>
      <xdr:rowOff>96402</xdr:rowOff>
    </xdr:from>
    <xdr:to>
      <xdr:col>6</xdr:col>
      <xdr:colOff>1</xdr:colOff>
      <xdr:row>29</xdr:row>
      <xdr:rowOff>3</xdr:rowOff>
    </xdr:to>
    <xdr:grpSp>
      <xdr:nvGrpSpPr>
        <xdr:cNvPr id="69" name="Grupo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/>
      </xdr:nvGrpSpPr>
      <xdr:grpSpPr>
        <a:xfrm>
          <a:off x="2801471" y="5743669"/>
          <a:ext cx="1973730" cy="276134"/>
          <a:chOff x="413237" y="2362200"/>
          <a:chExt cx="1547025" cy="271830"/>
        </a:xfrm>
      </xdr:grpSpPr>
      <xdr:sp macro="" textlink="">
        <xdr:nvSpPr>
          <xdr:cNvPr id="70" name="Rectángulo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413237" y="2362200"/>
            <a:ext cx="31346" cy="252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000"/>
          </a:p>
        </xdr:txBody>
      </xdr:sp>
      <xdr:sp macro="" textlink="">
        <xdr:nvSpPr>
          <xdr:cNvPr id="71" name="CuadroTexto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/>
        </xdr:nvSpPr>
        <xdr:spPr>
          <a:xfrm>
            <a:off x="413402" y="2367327"/>
            <a:ext cx="1546860" cy="2667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2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Reposo médico</a:t>
            </a:r>
          </a:p>
        </xdr:txBody>
      </xdr:sp>
    </xdr:grpSp>
    <xdr:clientData/>
  </xdr:twoCellAnchor>
  <xdr:twoCellAnchor>
    <xdr:from>
      <xdr:col>3</xdr:col>
      <xdr:colOff>186268</xdr:colOff>
      <xdr:row>30</xdr:row>
      <xdr:rowOff>53460</xdr:rowOff>
    </xdr:from>
    <xdr:to>
      <xdr:col>6</xdr:col>
      <xdr:colOff>160868</xdr:colOff>
      <xdr:row>41</xdr:row>
      <xdr:rowOff>118534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354429</xdr:colOff>
      <xdr:row>28</xdr:row>
      <xdr:rowOff>70742</xdr:rowOff>
    </xdr:from>
    <xdr:to>
      <xdr:col>14</xdr:col>
      <xdr:colOff>594337</xdr:colOff>
      <xdr:row>43</xdr:row>
      <xdr:rowOff>49908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499533</xdr:colOff>
      <xdr:row>0</xdr:row>
      <xdr:rowOff>254002</xdr:rowOff>
    </xdr:from>
    <xdr:to>
      <xdr:col>18</xdr:col>
      <xdr:colOff>728135</xdr:colOff>
      <xdr:row>4</xdr:row>
      <xdr:rowOff>143935</xdr:rowOff>
    </xdr:to>
    <xdr:sp macro="" textlink="">
      <xdr:nvSpPr>
        <xdr:cNvPr id="77" name="Rectángulo 76">
          <a:extLst>
            <a:ext uri="{FF2B5EF4-FFF2-40B4-BE49-F238E27FC236}">
              <a16:creationId xmlns:a16="http://schemas.microsoft.com/office/drawing/2014/main" id="{66E52734-2A25-4D88-9DCD-B195A66B599B}"/>
            </a:ext>
          </a:extLst>
        </xdr:cNvPr>
        <xdr:cNvSpPr/>
      </xdr:nvSpPr>
      <xdr:spPr>
        <a:xfrm>
          <a:off x="499533" y="254002"/>
          <a:ext cx="14554202" cy="1253066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423331</xdr:colOff>
      <xdr:row>0</xdr:row>
      <xdr:rowOff>211668</xdr:rowOff>
    </xdr:from>
    <xdr:to>
      <xdr:col>2</xdr:col>
      <xdr:colOff>643467</xdr:colOff>
      <xdr:row>4</xdr:row>
      <xdr:rowOff>150878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3C420E9D-AAD3-26EB-AA8F-020BE76A1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5" t="43548" r="20535" b="13979"/>
        <a:stretch/>
      </xdr:blipFill>
      <xdr:spPr>
        <a:xfrm>
          <a:off x="423331" y="211668"/>
          <a:ext cx="1811869" cy="1302343"/>
        </a:xfrm>
        <a:prstGeom prst="rect">
          <a:avLst/>
        </a:prstGeom>
      </xdr:spPr>
    </xdr:pic>
    <xdr:clientData/>
  </xdr:twoCellAnchor>
  <xdr:twoCellAnchor>
    <xdr:from>
      <xdr:col>4</xdr:col>
      <xdr:colOff>160869</xdr:colOff>
      <xdr:row>0</xdr:row>
      <xdr:rowOff>279400</xdr:rowOff>
    </xdr:from>
    <xdr:to>
      <xdr:col>15</xdr:col>
      <xdr:colOff>499536</xdr:colOff>
      <xdr:row>3</xdr:row>
      <xdr:rowOff>169333</xdr:rowOff>
    </xdr:to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5C9DF4EF-E6BC-A6F5-41D4-8AB57C79CEA7}"/>
            </a:ext>
          </a:extLst>
        </xdr:cNvPr>
        <xdr:cNvSpPr txBox="1"/>
      </xdr:nvSpPr>
      <xdr:spPr>
        <a:xfrm>
          <a:off x="3344336" y="279400"/>
          <a:ext cx="9093200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8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DASHBOARD DE </a:t>
          </a:r>
        </a:p>
        <a:p>
          <a:pPr algn="ctr"/>
          <a:r>
            <a:rPr lang="es-EC" sz="1800" b="1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MORBILIDAD Y KARDEX DE MEDICAMENTOS E INSUMOS MÉDICOS DIARIO</a:t>
          </a:r>
          <a:endParaRPr lang="es-EC" sz="180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262467</xdr:colOff>
      <xdr:row>0</xdr:row>
      <xdr:rowOff>389468</xdr:rowOff>
    </xdr:from>
    <xdr:to>
      <xdr:col>18</xdr:col>
      <xdr:colOff>659628</xdr:colOff>
      <xdr:row>3</xdr:row>
      <xdr:rowOff>84666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3ED3570B-BD94-402D-8409-468CEC4A500A}"/>
            </a:ext>
          </a:extLst>
        </xdr:cNvPr>
        <xdr:cNvSpPr txBox="1"/>
      </xdr:nvSpPr>
      <xdr:spPr>
        <a:xfrm>
          <a:off x="13792200" y="389468"/>
          <a:ext cx="1193028" cy="87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C" sz="1100" kern="12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EC-HSE-F-26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Rev 4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ENE-2025</a:t>
          </a:r>
        </a:p>
      </xdr:txBody>
    </xdr:sp>
    <xdr:clientData/>
  </xdr:twoCellAnchor>
  <xdr:twoCellAnchor>
    <xdr:from>
      <xdr:col>6</xdr:col>
      <xdr:colOff>108131</xdr:colOff>
      <xdr:row>7</xdr:row>
      <xdr:rowOff>5160</xdr:rowOff>
    </xdr:from>
    <xdr:to>
      <xdr:col>8</xdr:col>
      <xdr:colOff>138816</xdr:colOff>
      <xdr:row>13</xdr:row>
      <xdr:rowOff>151642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447BB9DD-FA0D-4884-B132-974953340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73115</xdr:colOff>
      <xdr:row>7</xdr:row>
      <xdr:rowOff>5160</xdr:rowOff>
    </xdr:from>
    <xdr:to>
      <xdr:col>11</xdr:col>
      <xdr:colOff>103800</xdr:colOff>
      <xdr:row>13</xdr:row>
      <xdr:rowOff>151642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67B48203-B736-4D82-8151-114104987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711199</xdr:colOff>
      <xdr:row>7</xdr:row>
      <xdr:rowOff>1</xdr:rowOff>
    </xdr:from>
    <xdr:to>
      <xdr:col>13</xdr:col>
      <xdr:colOff>741883</xdr:colOff>
      <xdr:row>13</xdr:row>
      <xdr:rowOff>146483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F3E91F8A-FEF5-4310-9C3F-40B49FCE0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561617</xdr:colOff>
      <xdr:row>9</xdr:row>
      <xdr:rowOff>76200</xdr:rowOff>
    </xdr:from>
    <xdr:to>
      <xdr:col>10</xdr:col>
      <xdr:colOff>371117</xdr:colOff>
      <xdr:row>11</xdr:row>
      <xdr:rowOff>76200</xdr:rowOff>
    </xdr:to>
    <xdr:sp macro="" textlink="'TAB DINAMICA'!P5">
      <xdr:nvSpPr>
        <xdr:cNvPr id="90" name="CuadroTexto 89">
          <a:extLst>
            <a:ext uri="{FF2B5EF4-FFF2-40B4-BE49-F238E27FC236}">
              <a16:creationId xmlns:a16="http://schemas.microsoft.com/office/drawing/2014/main" id="{BA94AD5D-805A-40BF-A40D-DCA250C02F0B}"/>
            </a:ext>
          </a:extLst>
        </xdr:cNvPr>
        <xdr:cNvSpPr txBox="1"/>
      </xdr:nvSpPr>
      <xdr:spPr>
        <a:xfrm>
          <a:off x="7724417" y="2370667"/>
          <a:ext cx="605367" cy="3725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F88D02-DC1B-43E7-BA28-5FBFFAE8C61F}" type="TxLink">
            <a:rPr lang="en-US" sz="1050" b="1" i="0" u="none" strike="noStrike">
              <a:solidFill>
                <a:schemeClr val="tx2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ctr"/>
            <a:t>#¡DIV/0!</a:t>
          </a:fld>
          <a:endParaRPr lang="es-ES" sz="105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660395</xdr:colOff>
      <xdr:row>9</xdr:row>
      <xdr:rowOff>76200</xdr:rowOff>
    </xdr:from>
    <xdr:to>
      <xdr:col>4</xdr:col>
      <xdr:colOff>469895</xdr:colOff>
      <xdr:row>11</xdr:row>
      <xdr:rowOff>76200</xdr:rowOff>
    </xdr:to>
    <xdr:sp macro="" textlink="'TAB DINAMICA'!P3">
      <xdr:nvSpPr>
        <xdr:cNvPr id="91" name="CuadroTexto 90">
          <a:extLst>
            <a:ext uri="{FF2B5EF4-FFF2-40B4-BE49-F238E27FC236}">
              <a16:creationId xmlns:a16="http://schemas.microsoft.com/office/drawing/2014/main" id="{9C93538C-B978-4050-AABB-FB0C81E6B767}"/>
            </a:ext>
          </a:extLst>
        </xdr:cNvPr>
        <xdr:cNvSpPr txBox="1"/>
      </xdr:nvSpPr>
      <xdr:spPr>
        <a:xfrm>
          <a:off x="3047995" y="2370667"/>
          <a:ext cx="605367" cy="3725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9CA2B9C-8525-469C-A608-3F8F80FCFF2D}" type="TxLink">
            <a:rPr lang="en-US" sz="1050" b="1" i="0" u="none" strike="noStrike">
              <a:solidFill>
                <a:schemeClr val="tx2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ctr"/>
            <a:t>#¡DIV/0!</a:t>
          </a:fld>
          <a:endParaRPr lang="es-ES" sz="105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611006</xdr:colOff>
      <xdr:row>9</xdr:row>
      <xdr:rowOff>76200</xdr:rowOff>
    </xdr:from>
    <xdr:to>
      <xdr:col>7</xdr:col>
      <xdr:colOff>420506</xdr:colOff>
      <xdr:row>11</xdr:row>
      <xdr:rowOff>76200</xdr:rowOff>
    </xdr:to>
    <xdr:sp macro="" textlink="'TAB DINAMICA'!P4">
      <xdr:nvSpPr>
        <xdr:cNvPr id="92" name="CuadroTexto 91">
          <a:extLst>
            <a:ext uri="{FF2B5EF4-FFF2-40B4-BE49-F238E27FC236}">
              <a16:creationId xmlns:a16="http://schemas.microsoft.com/office/drawing/2014/main" id="{4F2AF0E3-9832-467C-A2FD-F9205C9FF182}"/>
            </a:ext>
          </a:extLst>
        </xdr:cNvPr>
        <xdr:cNvSpPr txBox="1"/>
      </xdr:nvSpPr>
      <xdr:spPr>
        <a:xfrm>
          <a:off x="5386206" y="2370667"/>
          <a:ext cx="605367" cy="3725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BDE928E-EFCD-474C-8CA6-FBAB78332E8B}" type="TxLink">
            <a:rPr lang="en-US" sz="1050" b="1" i="0" u="none" strike="noStrike">
              <a:solidFill>
                <a:schemeClr val="tx2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ctr"/>
            <a:t>#¡DIV/0!</a:t>
          </a:fld>
          <a:endParaRPr lang="es-ES" sz="105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63825</xdr:colOff>
      <xdr:row>9</xdr:row>
      <xdr:rowOff>139699</xdr:rowOff>
    </xdr:from>
    <xdr:to>
      <xdr:col>17</xdr:col>
      <xdr:colOff>563359</xdr:colOff>
      <xdr:row>10</xdr:row>
      <xdr:rowOff>177800</xdr:rowOff>
    </xdr:to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047B2EAF-488C-4176-998D-F807C3DB4BB3}"/>
            </a:ext>
          </a:extLst>
        </xdr:cNvPr>
        <xdr:cNvSpPr txBox="1"/>
      </xdr:nvSpPr>
      <xdr:spPr>
        <a:xfrm>
          <a:off x="12797692" y="2434166"/>
          <a:ext cx="1295400" cy="224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CANTIDAD</a:t>
          </a:r>
        </a:p>
      </xdr:txBody>
    </xdr:sp>
    <xdr:clientData/>
  </xdr:twoCellAnchor>
  <xdr:twoCellAnchor>
    <xdr:from>
      <xdr:col>10</xdr:col>
      <xdr:colOff>673099</xdr:colOff>
      <xdr:row>10</xdr:row>
      <xdr:rowOff>35136</xdr:rowOff>
    </xdr:from>
    <xdr:to>
      <xdr:col>18</xdr:col>
      <xdr:colOff>321734</xdr:colOff>
      <xdr:row>31</xdr:row>
      <xdr:rowOff>118533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62552A2-8E5B-45DA-B60A-C4CE6ADFF7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31766" y="2515869"/>
              <a:ext cx="6015568" cy="39949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3</xdr:col>
      <xdr:colOff>414867</xdr:colOff>
      <xdr:row>16</xdr:row>
      <xdr:rowOff>1</xdr:rowOff>
    </xdr:from>
    <xdr:to>
      <xdr:col>14</xdr:col>
      <xdr:colOff>313056</xdr:colOff>
      <xdr:row>27</xdr:row>
      <xdr:rowOff>1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021988C9-A251-4A0B-9286-F952F726A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719665</xdr:colOff>
      <xdr:row>33</xdr:row>
      <xdr:rowOff>152399</xdr:rowOff>
    </xdr:from>
    <xdr:to>
      <xdr:col>17</xdr:col>
      <xdr:colOff>719667</xdr:colOff>
      <xdr:row>42</xdr:row>
      <xdr:rowOff>169332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4EC060A-599B-4E46-9F9B-E9395E470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542970</xdr:colOff>
      <xdr:row>23</xdr:row>
      <xdr:rowOff>84662</xdr:rowOff>
    </xdr:from>
    <xdr:to>
      <xdr:col>2</xdr:col>
      <xdr:colOff>391237</xdr:colOff>
      <xdr:row>36</xdr:row>
      <xdr:rowOff>111195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7" name="PROYECTO 1">
              <a:extLst>
                <a:ext uri="{FF2B5EF4-FFF2-40B4-BE49-F238E27FC236}">
                  <a16:creationId xmlns:a16="http://schemas.microsoft.com/office/drawing/2014/main" id="{17C61C64-133C-4C57-9C98-9B1C2F1900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YECTO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2970" y="4986862"/>
              <a:ext cx="1440000" cy="24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542970</xdr:colOff>
      <xdr:row>8</xdr:row>
      <xdr:rowOff>19896</xdr:rowOff>
    </xdr:from>
    <xdr:to>
      <xdr:col>2</xdr:col>
      <xdr:colOff>391237</xdr:colOff>
      <xdr:row>18</xdr:row>
      <xdr:rowOff>129963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8" name="MES 1">
              <a:extLst>
                <a:ext uri="{FF2B5EF4-FFF2-40B4-BE49-F238E27FC236}">
                  <a16:creationId xmlns:a16="http://schemas.microsoft.com/office/drawing/2014/main" id="{7C78AC0E-BBED-44A5-9CE2-0B450D6CF7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2970" y="2128096"/>
              <a:ext cx="1440000" cy="19727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59269</xdr:colOff>
      <xdr:row>0</xdr:row>
      <xdr:rowOff>1</xdr:rowOff>
    </xdr:from>
    <xdr:to>
      <xdr:col>1</xdr:col>
      <xdr:colOff>377616</xdr:colOff>
      <xdr:row>1</xdr:row>
      <xdr:rowOff>178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9C0A7E-E828-41D5-B1E2-E74289D96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69" y="1"/>
          <a:ext cx="1103207" cy="854079"/>
        </a:xfrm>
        <a:prstGeom prst="rect">
          <a:avLst/>
        </a:prstGeom>
      </xdr:spPr>
    </xdr:pic>
    <xdr:clientData/>
  </xdr:twoCellAnchor>
  <xdr:twoCellAnchor>
    <xdr:from>
      <xdr:col>11</xdr:col>
      <xdr:colOff>1400849</xdr:colOff>
      <xdr:row>0</xdr:row>
      <xdr:rowOff>69273</xdr:rowOff>
    </xdr:from>
    <xdr:to>
      <xdr:col>13</xdr:col>
      <xdr:colOff>377150</xdr:colOff>
      <xdr:row>0</xdr:row>
      <xdr:rowOff>700424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3B90481-DC2D-F27E-BE49-13CF9143FB55}"/>
            </a:ext>
          </a:extLst>
        </xdr:cNvPr>
        <xdr:cNvSpPr txBox="1"/>
      </xdr:nvSpPr>
      <xdr:spPr>
        <a:xfrm>
          <a:off x="20920364" y="69273"/>
          <a:ext cx="1185331" cy="631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EC-HSE-F-26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Rev 4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ENE-2025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14008</xdr:colOff>
      <xdr:row>0</xdr:row>
      <xdr:rowOff>99753</xdr:rowOff>
    </xdr:from>
    <xdr:to>
      <xdr:col>47</xdr:col>
      <xdr:colOff>556260</xdr:colOff>
      <xdr:row>0</xdr:row>
      <xdr:rowOff>730904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7DA6D74-20D2-4E1A-96E8-5D4191AB90BA}"/>
            </a:ext>
          </a:extLst>
        </xdr:cNvPr>
        <xdr:cNvSpPr txBox="1"/>
      </xdr:nvSpPr>
      <xdr:spPr>
        <a:xfrm>
          <a:off x="18393448" y="99753"/>
          <a:ext cx="1250912" cy="631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EC-HSE-F-26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Rev 4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ENE-2025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478598</xdr:colOff>
      <xdr:row>1</xdr:row>
      <xdr:rowOff>639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3D07848-029D-4679-8C38-221F58FF1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85900"/>
          <a:ext cx="1103438" cy="808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14008</xdr:colOff>
      <xdr:row>0</xdr:row>
      <xdr:rowOff>99753</xdr:rowOff>
    </xdr:from>
    <xdr:to>
      <xdr:col>56</xdr:col>
      <xdr:colOff>556260</xdr:colOff>
      <xdr:row>0</xdr:row>
      <xdr:rowOff>730904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12302C8-4822-4328-B88B-CE47091788E3}"/>
            </a:ext>
          </a:extLst>
        </xdr:cNvPr>
        <xdr:cNvSpPr txBox="1"/>
      </xdr:nvSpPr>
      <xdr:spPr>
        <a:xfrm>
          <a:off x="18393448" y="99753"/>
          <a:ext cx="1250912" cy="631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EC-HSE-F-26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Rev 4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ENE-2025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676718</xdr:colOff>
      <xdr:row>1</xdr:row>
      <xdr:rowOff>639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54FF1F-8CF0-430A-BC4E-9A620E3E6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3438" cy="8083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1033003</xdr:colOff>
      <xdr:row>0</xdr:row>
      <xdr:rowOff>784860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DE1823-0510-4751-9D80-F488F3088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033003" cy="784859"/>
        </a:xfrm>
        <a:prstGeom prst="rect">
          <a:avLst/>
        </a:prstGeom>
      </xdr:spPr>
    </xdr:pic>
    <xdr:clientData/>
  </xdr:twoCellAnchor>
  <xdr:twoCellAnchor>
    <xdr:from>
      <xdr:col>4</xdr:col>
      <xdr:colOff>883920</xdr:colOff>
      <xdr:row>0</xdr:row>
      <xdr:rowOff>114300</xdr:rowOff>
    </xdr:from>
    <xdr:to>
      <xdr:col>5</xdr:col>
      <xdr:colOff>755612</xdr:colOff>
      <xdr:row>0</xdr:row>
      <xdr:rowOff>745451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652841-8509-4158-B8DD-48000CA31694}"/>
            </a:ext>
          </a:extLst>
        </xdr:cNvPr>
        <xdr:cNvSpPr txBox="1"/>
      </xdr:nvSpPr>
      <xdr:spPr>
        <a:xfrm>
          <a:off x="8968740" y="114300"/>
          <a:ext cx="1250912" cy="631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EC-HSE-F-26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Rev 4</a:t>
          </a:r>
        </a:p>
        <a:p>
          <a:pPr algn="ctr"/>
          <a:r>
            <a:rPr lang="es-EC" sz="1100" kern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ENE-2025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27</xdr:row>
      <xdr:rowOff>0</xdr:rowOff>
    </xdr:from>
    <xdr:to>
      <xdr:col>3</xdr:col>
      <xdr:colOff>914400</xdr:colOff>
      <xdr:row>31</xdr:row>
      <xdr:rowOff>152400</xdr:rowOff>
    </xdr:to>
    <xdr:pic>
      <xdr:nvPicPr>
        <xdr:cNvPr id="4" name="Gráfico 3" descr="Hombre con relleno sólido">
          <a:extLst>
            <a:ext uri="{FF2B5EF4-FFF2-40B4-BE49-F238E27FC236}">
              <a16:creationId xmlns:a16="http://schemas.microsoft.com/office/drawing/2014/main" id="{288F4678-0459-634E-B22A-10D2FDC74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788920" y="512064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691020</xdr:colOff>
      <xdr:row>29</xdr:row>
      <xdr:rowOff>89040</xdr:rowOff>
    </xdr:from>
    <xdr:to>
      <xdr:col>4</xdr:col>
      <xdr:colOff>584340</xdr:colOff>
      <xdr:row>34</xdr:row>
      <xdr:rowOff>50940</xdr:rowOff>
    </xdr:to>
    <xdr:pic>
      <xdr:nvPicPr>
        <xdr:cNvPr id="7" name="Gráfico 6" descr="Mujer con relleno sólido">
          <a:extLst>
            <a:ext uri="{FF2B5EF4-FFF2-40B4-BE49-F238E27FC236}">
              <a16:creationId xmlns:a16="http://schemas.microsoft.com/office/drawing/2014/main" id="{2C5652AA-8FC1-A76B-C7E3-E56B82E1B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479940" y="55906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784860</xdr:colOff>
      <xdr:row>28</xdr:row>
      <xdr:rowOff>45720</xdr:rowOff>
    </xdr:from>
    <xdr:to>
      <xdr:col>7</xdr:col>
      <xdr:colOff>99060</xdr:colOff>
      <xdr:row>33</xdr:row>
      <xdr:rowOff>7620</xdr:rowOff>
    </xdr:to>
    <xdr:pic>
      <xdr:nvPicPr>
        <xdr:cNvPr id="8" name="Gráfico 7" descr="Hombre con relleno sólido">
          <a:extLst>
            <a:ext uri="{FF2B5EF4-FFF2-40B4-BE49-F238E27FC236}">
              <a16:creationId xmlns:a16="http://schemas.microsoft.com/office/drawing/2014/main" id="{3180AC3E-F999-471A-BCEC-EF0470887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387340" y="53568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691020</xdr:colOff>
      <xdr:row>28</xdr:row>
      <xdr:rowOff>35700</xdr:rowOff>
    </xdr:from>
    <xdr:to>
      <xdr:col>8</xdr:col>
      <xdr:colOff>5220</xdr:colOff>
      <xdr:row>32</xdr:row>
      <xdr:rowOff>188100</xdr:rowOff>
    </xdr:to>
    <xdr:pic>
      <xdr:nvPicPr>
        <xdr:cNvPr id="11" name="Gráfico 10" descr="Mujer con relleno sólido">
          <a:extLst>
            <a:ext uri="{FF2B5EF4-FFF2-40B4-BE49-F238E27FC236}">
              <a16:creationId xmlns:a16="http://schemas.microsoft.com/office/drawing/2014/main" id="{9BE7FBE5-6F22-4CF2-B1DB-F92C135BD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085980" y="5346840"/>
          <a:ext cx="914400" cy="914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243840</xdr:colOff>
      <xdr:row>13</xdr:row>
      <xdr:rowOff>89535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ES 2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15240</xdr:colOff>
      <xdr:row>0</xdr:row>
      <xdr:rowOff>0</xdr:rowOff>
    </xdr:from>
    <xdr:to>
      <xdr:col>5</xdr:col>
      <xdr:colOff>259080</xdr:colOff>
      <xdr:row>13</xdr:row>
      <xdr:rowOff>89535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ROYECTO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YEC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92680" y="0"/>
              <a:ext cx="1828800" cy="2466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0</xdr:row>
      <xdr:rowOff>0</xdr:rowOff>
    </xdr:from>
    <xdr:to>
      <xdr:col>9</xdr:col>
      <xdr:colOff>495300</xdr:colOff>
      <xdr:row>7</xdr:row>
      <xdr:rowOff>160020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716280</xdr:colOff>
      <xdr:row>0</xdr:row>
      <xdr:rowOff>45720</xdr:rowOff>
    </xdr:from>
    <xdr:to>
      <xdr:col>11</xdr:col>
      <xdr:colOff>396240</xdr:colOff>
      <xdr:row>7</xdr:row>
      <xdr:rowOff>106680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99060</xdr:colOff>
      <xdr:row>0</xdr:row>
      <xdr:rowOff>38100</xdr:rowOff>
    </xdr:from>
    <xdr:to>
      <xdr:col>13</xdr:col>
      <xdr:colOff>685800</xdr:colOff>
      <xdr:row>7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99060</xdr:colOff>
      <xdr:row>0</xdr:row>
      <xdr:rowOff>114300</xdr:rowOff>
    </xdr:from>
    <xdr:to>
      <xdr:col>15</xdr:col>
      <xdr:colOff>701040</xdr:colOff>
      <xdr:row>8</xdr:row>
      <xdr:rowOff>45720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5</xdr:col>
      <xdr:colOff>609600</xdr:colOff>
      <xdr:row>32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609600</xdr:colOff>
      <xdr:row>30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D4549732-D017-4ADC-8782-1032FEB21D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94020" y="2743200"/>
              <a:ext cx="45339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281940</xdr:colOff>
      <xdr:row>14</xdr:row>
      <xdr:rowOff>106680</xdr:rowOff>
    </xdr:from>
    <xdr:to>
      <xdr:col>16</xdr:col>
      <xdr:colOff>297180</xdr:colOff>
      <xdr:row>25</xdr:row>
      <xdr:rowOff>15240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495300</xdr:colOff>
      <xdr:row>32</xdr:row>
      <xdr:rowOff>22860</xdr:rowOff>
    </xdr:from>
    <xdr:to>
      <xdr:col>12</xdr:col>
      <xdr:colOff>571500</xdr:colOff>
      <xdr:row>38</xdr:row>
      <xdr:rowOff>160020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olabora.%2520Maria%2520J.%2520C\Downloads\CUADRO%2520DIARIO%2520SALUD%2520OCUPA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awaite/Desktop/SmartSheet_Temps/ActionPlans/Temp_ActionIte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DIARIO"/>
      <sheetName val="CONSOLIDADO"/>
      <sheetName val="LISTA"/>
      <sheetName val="Lista de person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 Item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C-HSE-F-26%20KARDEX%20MORBILIDAD%202024%20(Reparado)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BR. M Carcelen" refreshedDate="45637.474169097222" createdVersion="8" refreshedVersion="8" minRefreshableVersion="3" recordCount="866" xr:uid="{9D1D05C3-3645-4F40-9493-C3A1F1FB12CF}">
  <cacheSource type="worksheet">
    <worksheetSource ref="A8:N874" sheet="AT. MEDICAS 2024"/>
  </cacheSource>
  <cacheFields count="14">
    <cacheField name="FECHA" numFmtId="15">
      <sharedItems containsNonDate="0" containsString="0" containsBlank="1"/>
    </cacheField>
    <cacheField name="MES" numFmtId="0">
      <sharedItems containsSemiMixedTypes="0" containsString="0" containsNumber="1" containsInteger="1" minValue="1" maxValue="3" count="3">
        <n v="1"/>
        <n v="2" u="1"/>
        <n v="3" u="1"/>
      </sharedItems>
    </cacheField>
    <cacheField name="APELLIDOS Y NOMBRES" numFmtId="164">
      <sharedItems containsNonDate="0" containsString="0" containsBlank="1"/>
    </cacheField>
    <cacheField name="SEXO " numFmtId="0">
      <sharedItems count="3">
        <s v=""/>
        <s v="H" u="1"/>
        <s v="M" u="1"/>
      </sharedItems>
    </cacheField>
    <cacheField name="EDAD" numFmtId="0">
      <sharedItems/>
    </cacheField>
    <cacheField name="TIPO DE MORBILIDAD" numFmtId="164">
      <sharedItems containsNonDate="0" containsBlank="1" count="3">
        <m/>
        <s v="ENFERMEDAD COMÚN" u="1"/>
        <s v="PRIMER AUXILIO" u="1"/>
      </sharedItems>
    </cacheField>
    <cacheField name="REPOSO MÉDICO" numFmtId="0">
      <sharedItems containsNonDate="0" containsBlank="1" count="3">
        <m/>
        <s v="NO" u="1"/>
        <s v="SI" u="1"/>
      </sharedItems>
    </cacheField>
    <cacheField name="DIAGNOSTICO (DX) O SINDROME" numFmtId="164">
      <sharedItems containsNonDate="0" containsString="0" containsBlank="1"/>
    </cacheField>
    <cacheField name="CATEGORIA DEL DX" numFmtId="0">
      <sharedItems containsNonDate="0" containsBlank="1" count="4">
        <m/>
        <s v="RESPIRATORIAS / ORL" u="1"/>
        <s v="OFTALMOLOGICAS" u="1"/>
        <s v="GASTROINTESTINALES" u="1"/>
      </sharedItems>
    </cacheField>
    <cacheField name="CLASE DE DX" numFmtId="0">
      <sharedItems containsNonDate="0" containsString="0" containsBlank="1"/>
    </cacheField>
    <cacheField name="CARGO" numFmtId="0">
      <sharedItems/>
    </cacheField>
    <cacheField name="PROYECTO" numFmtId="164">
      <sharedItems containsNonDate="0" containsBlank="1" count="4">
        <m/>
        <s v="WARINTZA" u="1"/>
        <s v="SEDE CENTRAL" u="1"/>
        <s v="TITAN" u="1"/>
      </sharedItems>
    </cacheField>
    <cacheField name="¿ENTREGO MEDICACIÓN?" numFmtId="164">
      <sharedItems containsNonDate="0" containsString="0" containsBlank="1"/>
    </cacheField>
    <cacheField name="INTERCONSULT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78774960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BR. M Carcelen" refreshedDate="45413.428313773147" createdVersion="8" refreshedVersion="8" minRefreshableVersion="3" recordCount="512" xr:uid="{7FA29E07-3087-4371-AB83-9594DF36ABC1}">
  <cacheSource type="worksheet">
    <worksheetSource ref="A3:M518" sheet="AT. MEDICAS 2024" r:id="rId2"/>
  </cacheSource>
  <cacheFields count="13">
    <cacheField name="DIA" numFmtId="164">
      <sharedItems containsNonDate="0" containsDate="1" containsString="0" containsBlank="1" minDate="2024-01-05T00:00:00" maxDate="2024-05-02T00:00:00"/>
    </cacheField>
    <cacheField name="MES" numFmtId="0">
      <sharedItems containsSemiMixedTypes="0" containsString="0" containsNumber="1" containsInteger="1" minValue="1" maxValue="12" count="8">
        <n v="1"/>
        <n v="2"/>
        <n v="3"/>
        <n v="4"/>
        <n v="5"/>
        <n v="10" u="1"/>
        <n v="11" u="1"/>
        <n v="12" u="1"/>
      </sharedItems>
    </cacheField>
    <cacheField name="APELLIDOS Y NOMBRES" numFmtId="0">
      <sharedItems containsBlank="1"/>
    </cacheField>
    <cacheField name="SEXO " numFmtId="0">
      <sharedItems containsBlank="1" count="3">
        <s v="H"/>
        <s v="M"/>
        <m/>
      </sharedItems>
    </cacheField>
    <cacheField name="EDAD" numFmtId="0">
      <sharedItems containsMixedTypes="1" containsNumber="1" containsInteger="1" minValue="22" maxValue="62"/>
    </cacheField>
    <cacheField name="TIPO DE MORBILIDAD" numFmtId="0">
      <sharedItems containsBlank="1" count="5">
        <s v="ENFERMEDAD COMUN"/>
        <s v="PRIMER AUXILIO"/>
        <m/>
        <s v="OTRO" u="1"/>
        <s v="INCIDENTE DE TRABAJO" u="1"/>
      </sharedItems>
    </cacheField>
    <cacheField name="AUSENTISMO" numFmtId="0">
      <sharedItems containsBlank="1" count="4">
        <s v="-"/>
        <s v="POR EC"/>
        <m/>
        <s v="POR IT" u="1"/>
      </sharedItems>
    </cacheField>
    <cacheField name="DIAGNOSTICO (DX) O SINDROME" numFmtId="0">
      <sharedItems containsBlank="1"/>
    </cacheField>
    <cacheField name="CATEGORIA DEL DX" numFmtId="0">
      <sharedItems containsBlank="1" count="17">
        <s v="RESPIRATORIAS / ORL"/>
        <s v="MUSCULOESQUELETICAS"/>
        <s v="NEUROLOGICAS"/>
        <m/>
        <s v="OTRAS"/>
        <s v="GENITOURINARIAS"/>
        <s v="GASTROINTESTINALES"/>
        <s v="DERMATOLOGICAS"/>
        <s v="ODONTOLOGICAS"/>
        <s v="OFTALMOLOGICAS"/>
        <s v="TRAUMATISMOS"/>
        <s v="HERIDAS / SUTURAS"/>
        <s v="CURACIONES"/>
        <s v="MORDEDURAS / PICADURAS"/>
        <s v="TROPICALES"/>
        <s v="CONTROL / PROFILAXIS" u="1"/>
        <s v="CARDIOVASCULARES" u="1"/>
      </sharedItems>
    </cacheField>
    <cacheField name="CLASE DE DX" numFmtId="0">
      <sharedItems containsBlank="1"/>
    </cacheField>
    <cacheField name="CARGO" numFmtId="0">
      <sharedItems/>
    </cacheField>
    <cacheField name="PROYECTO" numFmtId="0">
      <sharedItems containsBlank="1" count="9">
        <s v="TIERRAS COLORADAS"/>
        <s v="BODEGA - TALLERES"/>
        <s v="WARINTZA"/>
        <s v="SEDE CENTRAL"/>
        <s v="SEDE MACAS"/>
        <m/>
        <s v="WARFINTZA" u="1"/>
        <s v="CANGREJOS" u="1"/>
        <s v="TITAN" u="1"/>
      </sharedItems>
    </cacheField>
    <cacheField name="INTERCONSULTA" numFmtId="0">
      <sharedItems containsString="0" containsBlank="1" containsNumber="1" containsInteger="1" minValue="1" maxValue="3"/>
    </cacheField>
  </cacheFields>
  <extLst>
    <ext xmlns:x14="http://schemas.microsoft.com/office/spreadsheetml/2009/9/main" uri="{725AE2AE-9491-48be-B2B4-4EB974FC3084}">
      <x14:pivotCacheDefinition pivotCacheId="126739290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6"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  <r>
    <m/>
    <x v="0"/>
    <m/>
    <x v="0"/>
    <s v=""/>
    <x v="0"/>
    <x v="0"/>
    <m/>
    <x v="0"/>
    <m/>
    <s v=""/>
    <x v="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2">
  <r>
    <d v="2024-01-05T00:00:00"/>
    <x v="0"/>
    <s v="PORRAS CORDOVA JEFFERSON VINICIO"/>
    <x v="0"/>
    <n v="47"/>
    <x v="0"/>
    <x v="0"/>
    <s v="FARINGITIS"/>
    <x v="0"/>
    <s v="DEF"/>
    <s v="AYUDANTE DE PERFORACION"/>
    <x v="0"/>
    <n v="3"/>
  </r>
  <r>
    <d v="2024-01-05T00:00:00"/>
    <x v="0"/>
    <s v="JIMENEZ CARRION CARLOS VICENTE"/>
    <x v="0"/>
    <n v="37"/>
    <x v="0"/>
    <x v="0"/>
    <s v="FARINGITIS"/>
    <x v="0"/>
    <s v="DEF"/>
    <s v="OBRERO DE CAMPO"/>
    <x v="0"/>
    <n v="3"/>
  </r>
  <r>
    <d v="2024-01-05T00:00:00"/>
    <x v="0"/>
    <s v="TORRES CARRION JOSE VICENTE"/>
    <x v="0"/>
    <n v="35"/>
    <x v="0"/>
    <x v="0"/>
    <s v="FARINGITIS"/>
    <x v="0"/>
    <s v="DEF"/>
    <s v="OBRERO DE CAMPO"/>
    <x v="0"/>
    <n v="3"/>
  </r>
  <r>
    <d v="2024-01-05T00:00:00"/>
    <x v="0"/>
    <s v="PARDO ABAD ANGEL JOSE"/>
    <x v="0"/>
    <n v="35"/>
    <x v="0"/>
    <x v="0"/>
    <s v="FARINGITIS"/>
    <x v="0"/>
    <s v="DEF"/>
    <s v="OBRERO DE CAMPO"/>
    <x v="0"/>
    <n v="3"/>
  </r>
  <r>
    <d v="2024-01-05T00:00:00"/>
    <x v="0"/>
    <s v="TORRES PARDO PATRICIO MARCELO"/>
    <x v="0"/>
    <n v="54"/>
    <x v="0"/>
    <x v="0"/>
    <s v="FARINGITIS"/>
    <x v="0"/>
    <s v="DEF"/>
    <s v="OBRERO DE CAMPO"/>
    <x v="0"/>
    <n v="3"/>
  </r>
  <r>
    <d v="2024-01-05T00:00:00"/>
    <x v="0"/>
    <s v="TORRES PARDO LUIS FRANCISCO"/>
    <x v="0"/>
    <n v="26"/>
    <x v="0"/>
    <x v="0"/>
    <s v="FARINGITIS"/>
    <x v="0"/>
    <s v="DEF"/>
    <s v="OBRERO DE CAMPO"/>
    <x v="0"/>
    <n v="3"/>
  </r>
  <r>
    <d v="2024-01-05T00:00:00"/>
    <x v="0"/>
    <s v="ABAD SUAREZ JIMMY ARMANDO"/>
    <x v="0"/>
    <n v="43"/>
    <x v="0"/>
    <x v="0"/>
    <s v="DOLOR MUSCULAR GENERALIZADO"/>
    <x v="1"/>
    <s v="DEF"/>
    <s v="SUPERVISOR DE PROYECTO"/>
    <x v="0"/>
    <n v="3"/>
  </r>
  <r>
    <d v="2024-01-05T00:00:00"/>
    <x v="0"/>
    <s v="GUAMBIANGO YAPO KLEVER FERNANDO"/>
    <x v="0"/>
    <n v="34"/>
    <x v="0"/>
    <x v="0"/>
    <s v="CEFALEA TENSIONAL"/>
    <x v="2"/>
    <s v="DEF"/>
    <s v="ASISTENTE DE TALENTO HUMANO"/>
    <x v="0"/>
    <n v="3"/>
  </r>
  <r>
    <d v="2024-01-06T00:00:00"/>
    <x v="0"/>
    <s v="TORRES PARDO JOSE JAVIER"/>
    <x v="0"/>
    <n v="35"/>
    <x v="0"/>
    <x v="0"/>
    <s v="FARINGITIS"/>
    <x v="0"/>
    <s v="DEF"/>
    <s v="OBRERO DE CAMPO"/>
    <x v="0"/>
    <n v="3"/>
  </r>
  <r>
    <d v="2024-01-06T00:00:00"/>
    <x v="0"/>
    <s v="TORRES PARDO LUIS FRANCISCO"/>
    <x v="0"/>
    <n v="26"/>
    <x v="0"/>
    <x v="0"/>
    <s v="FARINGITIS"/>
    <x v="0"/>
    <s v="DEF"/>
    <s v="OBRERO DE CAMPO"/>
    <x v="0"/>
    <n v="3"/>
  </r>
  <r>
    <d v="2024-01-06T00:00:00"/>
    <x v="0"/>
    <s v="TORRES PARDO PATRICIO MARCELO"/>
    <x v="0"/>
    <n v="54"/>
    <x v="0"/>
    <x v="0"/>
    <s v="FARINGITIS"/>
    <x v="0"/>
    <s v="DEF"/>
    <s v="OBRERO DE CAMPO"/>
    <x v="0"/>
    <n v="3"/>
  </r>
  <r>
    <d v="2024-01-06T00:00:00"/>
    <x v="0"/>
    <s v="SUQUI PACHECO GABRIELA DEL CISNE"/>
    <x v="1"/>
    <n v="39"/>
    <x v="0"/>
    <x v="0"/>
    <s v="DISPEPSIA"/>
    <x v="3"/>
    <s v="DEF"/>
    <s v="OBRERO DE CAMPO"/>
    <x v="0"/>
    <n v="3"/>
  </r>
  <r>
    <d v="2024-01-08T00:00:00"/>
    <x v="0"/>
    <s v="PONCE CUASAPUD WILLIAM ANDRES"/>
    <x v="0"/>
    <n v="29"/>
    <x v="0"/>
    <x v="1"/>
    <s v="COVID-19 POSITIVO"/>
    <x v="0"/>
    <s v="DEF"/>
    <s v="SOLDADOR"/>
    <x v="1"/>
    <n v="3"/>
  </r>
  <r>
    <d v="2024-01-08T00:00:00"/>
    <x v="0"/>
    <s v="SALVADOR ESPIN MARIA CRISTINA"/>
    <x v="1"/>
    <n v="27"/>
    <x v="0"/>
    <x v="0"/>
    <s v="CERVICALGIA"/>
    <x v="1"/>
    <s v="DEF"/>
    <s v="ASISTENTE DE LOGISTICA"/>
    <x v="1"/>
    <n v="3"/>
  </r>
  <r>
    <d v="2024-01-08T00:00:00"/>
    <x v="0"/>
    <s v="CAUJA PILATAXI KARINA MARIVEL "/>
    <x v="1"/>
    <n v="30"/>
    <x v="0"/>
    <x v="0"/>
    <s v="CEFALEA TENSIONAL"/>
    <x v="2"/>
    <s v="DEF"/>
    <s v="ASISTENTE HSE"/>
    <x v="0"/>
    <n v="3"/>
  </r>
  <r>
    <d v="2024-01-09T00:00:00"/>
    <x v="0"/>
    <s v="JIMENEZ SALAZAR MILTON MANUEL "/>
    <x v="0"/>
    <n v="41"/>
    <x v="0"/>
    <x v="0"/>
    <s v="FARINGITIS"/>
    <x v="0"/>
    <s v="DEF"/>
    <s v="OBRERO DE CAMPO"/>
    <x v="0"/>
    <n v="3"/>
  </r>
  <r>
    <d v="2024-01-09T00:00:00"/>
    <x v="0"/>
    <s v="GIRON GIRON JOSE BENEDICTO"/>
    <x v="0"/>
    <n v="27"/>
    <x v="0"/>
    <x v="0"/>
    <s v="DOLOR MUSCULAR GENERALIZADO"/>
    <x v="1"/>
    <s v="DEF"/>
    <s v="OBRERO DE CAMPO"/>
    <x v="0"/>
    <n v="3"/>
  </r>
  <r>
    <d v="2024-01-09T00:00:00"/>
    <x v="0"/>
    <s v="GAONA CARRION DIEGO HERNAN"/>
    <x v="0"/>
    <n v="30"/>
    <x v="0"/>
    <x v="0"/>
    <s v="DOLOR MUSCULAR GENERALIZADO"/>
    <x v="1"/>
    <s v="DEF"/>
    <s v="OBRERO DE CAMPO"/>
    <x v="0"/>
    <n v="3"/>
  </r>
  <r>
    <d v="2024-01-09T00:00:00"/>
    <x v="0"/>
    <s v="ABAD SUAREZ MIGUEL ANGEL"/>
    <x v="0"/>
    <n v="41"/>
    <x v="0"/>
    <x v="0"/>
    <s v="FARINGITIS"/>
    <x v="0"/>
    <s v="DEF"/>
    <s v="PERFORISTA"/>
    <x v="2"/>
    <n v="3"/>
  </r>
  <r>
    <d v="2024-01-10T00:00:00"/>
    <x v="0"/>
    <s v="SIERRA OSORIO DIEGO FERNANDO"/>
    <x v="0"/>
    <n v="37"/>
    <x v="0"/>
    <x v="0"/>
    <s v="MALESTAR Y FATIGA"/>
    <x v="4"/>
    <s v="DEF"/>
    <s v="GERENTE HSE"/>
    <x v="3"/>
    <n v="3"/>
  </r>
  <r>
    <d v="2024-01-10T00:00:00"/>
    <x v="0"/>
    <s v="JIMENEZ RODRIGUEZ DARWIN VICENTE "/>
    <x v="0"/>
    <n v="34"/>
    <x v="0"/>
    <x v="0"/>
    <s v="DOLOR MUSCULAR GENERALIZADO"/>
    <x v="1"/>
    <s v="DEF"/>
    <s v="OBRERO DE CAMPO"/>
    <x v="0"/>
    <n v="3"/>
  </r>
  <r>
    <d v="2024-01-10T00:00:00"/>
    <x v="0"/>
    <s v="OLMEDO SOTO PEDRO ALEJANDRO "/>
    <x v="0"/>
    <n v="22"/>
    <x v="0"/>
    <x v="0"/>
    <s v="CEFALEA TENSIONAL"/>
    <x v="2"/>
    <s v="DEF"/>
    <s v="OBRERO DE CAMPO"/>
    <x v="0"/>
    <n v="3"/>
  </r>
  <r>
    <d v="2024-01-10T00:00:00"/>
    <x v="0"/>
    <s v="CAUJA PILATAXI KARINA MARIVEL "/>
    <x v="1"/>
    <n v="30"/>
    <x v="0"/>
    <x v="0"/>
    <s v="CEFALEA TENSIONAL"/>
    <x v="2"/>
    <s v="DEF"/>
    <s v="ASISTENTE HSE"/>
    <x v="0"/>
    <n v="3"/>
  </r>
  <r>
    <d v="2024-01-11T00:00:00"/>
    <x v="0"/>
    <s v="SIERRA OSORIO DIEGO FERNANDO"/>
    <x v="0"/>
    <n v="37"/>
    <x v="0"/>
    <x v="2"/>
    <s v="MIGRAÑA SIN AURA"/>
    <x v="2"/>
    <s v="DEF"/>
    <s v="GERENTE HSE"/>
    <x v="3"/>
    <n v="3"/>
  </r>
  <r>
    <d v="2024-01-11T00:00:00"/>
    <x v="0"/>
    <s v="JIMENEZ SALAZAR MILTON MANUEL "/>
    <x v="0"/>
    <n v="41"/>
    <x v="0"/>
    <x v="0"/>
    <s v="RESFRIADO COMUN"/>
    <x v="0"/>
    <s v="DEF"/>
    <s v="OBRERO DE CAMPO"/>
    <x v="0"/>
    <n v="3"/>
  </r>
  <r>
    <d v="2024-01-12T00:00:00"/>
    <x v="0"/>
    <s v="SALTOS CARRASCO CHRISTIAN MARCELO"/>
    <x v="0"/>
    <n v="29"/>
    <x v="0"/>
    <x v="0"/>
    <s v="RINITIS ALERGICA"/>
    <x v="0"/>
    <s v="DEF"/>
    <s v="RESPONSABLE HSE"/>
    <x v="3"/>
    <n v="3"/>
  </r>
  <r>
    <d v="2024-01-12T00:00:00"/>
    <x v="0"/>
    <s v="SALVADOR ESPIN MARIA CRISTINA"/>
    <x v="1"/>
    <n v="27"/>
    <x v="0"/>
    <x v="0"/>
    <s v="COLICO DE ÚTERO MENSTRUAL "/>
    <x v="5"/>
    <s v="DEF"/>
    <s v="ASISTENTE DE LOGISTICA"/>
    <x v="1"/>
    <n v="3"/>
  </r>
  <r>
    <d v="2024-01-12T00:00:00"/>
    <x v="0"/>
    <s v="ORDOÑEZ ORDOÑEZ KEVIN WALTER"/>
    <x v="0"/>
    <n v="33"/>
    <x v="0"/>
    <x v="0"/>
    <s v="RINOFARINGITIS"/>
    <x v="0"/>
    <s v="DEF"/>
    <s v="ASISTENTE DE LOGISTICA"/>
    <x v="1"/>
    <n v="3"/>
  </r>
  <r>
    <d v="2024-01-12T00:00:00"/>
    <x v="0"/>
    <s v="BRICEÑO PARDO EDWIN EDISON "/>
    <x v="0"/>
    <n v="30"/>
    <x v="0"/>
    <x v="0"/>
    <s v="DOLOR MUSCULAR GENERALIZADO"/>
    <x v="1"/>
    <s v="DEF"/>
    <s v="OBRERO DE CAMPO"/>
    <x v="0"/>
    <n v="3"/>
  </r>
  <r>
    <d v="2024-01-12T00:00:00"/>
    <x v="0"/>
    <s v="CAUJA PILATAXI KARINA MARIVEL "/>
    <x v="1"/>
    <n v="30"/>
    <x v="0"/>
    <x v="0"/>
    <s v="DOLOR MUSCULAR GENERALIZADO"/>
    <x v="1"/>
    <s v="DEF"/>
    <s v="ASISTENTE HSE"/>
    <x v="0"/>
    <n v="3"/>
  </r>
  <r>
    <d v="2024-01-14T00:00:00"/>
    <x v="0"/>
    <s v="VERDEZOTO BARREZUETA KHATERINE LIZETH"/>
    <x v="1"/>
    <n v="30"/>
    <x v="0"/>
    <x v="0"/>
    <s v="CEFALEA TENSIONAL"/>
    <x v="2"/>
    <s v="DEF"/>
    <s v="ASISTENTE HSE"/>
    <x v="0"/>
    <n v="3"/>
  </r>
  <r>
    <d v="2024-01-15T00:00:00"/>
    <x v="0"/>
    <s v="SIERRA OSORIO DIEGO FERNANDO"/>
    <x v="0"/>
    <n v="37"/>
    <x v="0"/>
    <x v="0"/>
    <s v="CEFALEA TENSIONAL"/>
    <x v="2"/>
    <s v="DEF"/>
    <s v="GERENTE HSE"/>
    <x v="3"/>
    <n v="3"/>
  </r>
  <r>
    <d v="2024-01-15T00:00:00"/>
    <x v="0"/>
    <s v="BERRU GUALAN WILLIAM STALIN"/>
    <x v="0"/>
    <n v="28"/>
    <x v="0"/>
    <x v="0"/>
    <s v="DOLOR MUSCULAR GENERALIZADO"/>
    <x v="1"/>
    <s v="DEF"/>
    <s v="OBRERO DE CAMPO "/>
    <x v="0"/>
    <n v="3"/>
  </r>
  <r>
    <d v="2024-01-15T00:00:00"/>
    <x v="0"/>
    <s v="ESPINOZA ZURA BRIAN SANTIAGO"/>
    <x v="0"/>
    <n v="22"/>
    <x v="0"/>
    <x v="0"/>
    <s v="CEFALEA TENSIONAL"/>
    <x v="2"/>
    <s v="DEF"/>
    <s v="OPERADOR IH"/>
    <x v="0"/>
    <n v="3"/>
  </r>
  <r>
    <d v="2024-01-16T00:00:00"/>
    <x v="0"/>
    <s v="PIEDRA PIEDRA JAYRO BLADIMIR"/>
    <x v="0"/>
    <n v="33"/>
    <x v="0"/>
    <x v="0"/>
    <s v="SINDROME GRIPAL"/>
    <x v="0"/>
    <s v="DEF"/>
    <s v="SOLDADOR"/>
    <x v="1"/>
    <n v="3"/>
  </r>
  <r>
    <d v="2024-01-17T00:00:00"/>
    <x v="0"/>
    <s v="VACA ORTIZ CARLOS EDUARDO"/>
    <x v="0"/>
    <n v="41"/>
    <x v="0"/>
    <x v="0"/>
    <s v="DOLOR MUSCULAR DE TOBILLO "/>
    <x v="1"/>
    <s v="PRES"/>
    <s v="GERENTE GENERAL"/>
    <x v="3"/>
    <n v="3"/>
  </r>
  <r>
    <d v="2024-01-17T00:00:00"/>
    <x v="0"/>
    <s v="JIMENEZ JIMENEZ MILTON YOVANNY"/>
    <x v="0"/>
    <n v="41"/>
    <x v="0"/>
    <x v="0"/>
    <s v="DOLOR MUSCULAR GENERALIZADO"/>
    <x v="1"/>
    <s v="DEF"/>
    <s v="OBRERO DE CAMPO"/>
    <x v="0"/>
    <n v="3"/>
  </r>
  <r>
    <d v="2024-01-18T00:00:00"/>
    <x v="0"/>
    <s v="VACA ORTIZ CARLOS EDUARDO"/>
    <x v="0"/>
    <n v="41"/>
    <x v="0"/>
    <x v="0"/>
    <s v="DOLOR MUSCULAR DE TOBILLO "/>
    <x v="1"/>
    <s v="PRES"/>
    <s v="GERENTE GENERAL"/>
    <x v="3"/>
    <n v="3"/>
  </r>
  <r>
    <d v="2024-01-18T00:00:00"/>
    <x v="0"/>
    <s v="DELGADO DIAZ ALEXANDRA ELIZABETH"/>
    <x v="1"/>
    <n v="35"/>
    <x v="0"/>
    <x v="0"/>
    <s v="CEFALEA TENSIONAL"/>
    <x v="2"/>
    <s v="DEF"/>
    <s v="SERVICIOS GENERALES"/>
    <x v="3"/>
    <n v="3"/>
  </r>
  <r>
    <d v="2024-01-18T00:00:00"/>
    <x v="0"/>
    <s v="CORDERO CASTILLO WILSON PEDRO"/>
    <x v="0"/>
    <n v="52"/>
    <x v="0"/>
    <x v="0"/>
    <s v="DISPEPSIA"/>
    <x v="6"/>
    <s v="DEF"/>
    <s v="OBRERO DE CAMPO "/>
    <x v="0"/>
    <n v="3"/>
  </r>
  <r>
    <d v="2024-01-18T00:00:00"/>
    <x v="0"/>
    <s v="RODRIGUEZ TORRES JOSE PAUL "/>
    <x v="0"/>
    <n v="38"/>
    <x v="0"/>
    <x v="0"/>
    <s v="DISPEPSIA"/>
    <x v="6"/>
    <s v="DEF"/>
    <s v="OBRERO DE CAMPO"/>
    <x v="0"/>
    <n v="3"/>
  </r>
  <r>
    <d v="2024-01-18T00:00:00"/>
    <x v="0"/>
    <s v="JIMENEZ CASTILLO JORGE LUIS"/>
    <x v="0"/>
    <n v="34"/>
    <x v="0"/>
    <x v="0"/>
    <s v="CEFALEA TENSIONAL"/>
    <x v="2"/>
    <s v="DEF"/>
    <s v="OBRERO DE CAMPO"/>
    <x v="0"/>
    <n v="3"/>
  </r>
  <r>
    <d v="2024-01-19T00:00:00"/>
    <x v="0"/>
    <s v="LOPEZ  CALVOPIÑA KIMBERLIN DEANNA"/>
    <x v="1"/>
    <n v="29"/>
    <x v="0"/>
    <x v="0"/>
    <s v="DOLOR MUSCULAR GENERALIZADO"/>
    <x v="1"/>
    <s v="DEF"/>
    <s v="ASISTENTE HSE"/>
    <x v="0"/>
    <n v="3"/>
  </r>
  <r>
    <d v="2024-01-19T00:00:00"/>
    <x v="0"/>
    <s v="AWAK CHUINDA BYRON PATRICIO"/>
    <x v="0"/>
    <n v="36"/>
    <x v="0"/>
    <x v="0"/>
    <s v="RASH ALERGICO"/>
    <x v="7"/>
    <s v="DEF"/>
    <s v="AYUDANTE DE PERFORACION"/>
    <x v="0"/>
    <n v="3"/>
  </r>
  <r>
    <d v="2024-01-19T00:00:00"/>
    <x v="0"/>
    <s v="CALVOPIÑA ACOSTA KAREN ARACELY"/>
    <x v="1"/>
    <n v="28"/>
    <x v="0"/>
    <x v="0"/>
    <s v="DOLOR MUSCULAR GENERALIZADO"/>
    <x v="1"/>
    <s v="DEF"/>
    <s v="ASISTENTE HSE"/>
    <x v="0"/>
    <n v="3"/>
  </r>
  <r>
    <d v="2024-01-20T00:00:00"/>
    <x v="0"/>
    <s v="ABAD OLMEDO DIONICIO EFRAIN"/>
    <x v="0"/>
    <n v="62"/>
    <x v="0"/>
    <x v="0"/>
    <s v="DOLOR MUSCULAR GENERALIZADO"/>
    <x v="1"/>
    <s v="DEF"/>
    <s v="OBRERO DE CAMPO"/>
    <x v="0"/>
    <n v="3"/>
  </r>
  <r>
    <d v="2024-01-21T00:00:00"/>
    <x v="0"/>
    <s v="LOPEZ  CALVOPIÑA KIMBERLIN DEANNA"/>
    <x v="1"/>
    <n v="29"/>
    <x v="0"/>
    <x v="0"/>
    <s v="RASH ALERGICO"/>
    <x v="7"/>
    <s v="DEF"/>
    <s v="ASISTENTE HSE"/>
    <x v="0"/>
    <n v="3"/>
  </r>
  <r>
    <d v="2024-01-21T00:00:00"/>
    <x v="0"/>
    <s v="RODRIGUEZ TORRES JUAN FRANCISCO"/>
    <x v="0"/>
    <n v="24"/>
    <x v="0"/>
    <x v="0"/>
    <s v="FARINGITIS"/>
    <x v="0"/>
    <s v="DEF"/>
    <s v="OBRERO DE CAMPO"/>
    <x v="0"/>
    <n v="3"/>
  </r>
  <r>
    <d v="2024-01-21T00:00:00"/>
    <x v="0"/>
    <s v="GIRON GIRON JORGE FRANCISCO "/>
    <x v="0"/>
    <n v="46"/>
    <x v="0"/>
    <x v="0"/>
    <s v="GASTROENTERITIS"/>
    <x v="6"/>
    <s v="DEF"/>
    <s v="OBRERO DE CAMPO"/>
    <x v="0"/>
    <n v="3"/>
  </r>
  <r>
    <d v="2024-01-21T00:00:00"/>
    <x v="0"/>
    <s v="TORRES PACHECO JOSE ANTONIO"/>
    <x v="0"/>
    <n v="39"/>
    <x v="0"/>
    <x v="0"/>
    <s v="GASTROENTERITIS"/>
    <x v="6"/>
    <s v="DEF"/>
    <s v="OBRERO DE CAMPO"/>
    <x v="0"/>
    <n v="3"/>
  </r>
  <r>
    <d v="2024-01-22T00:00:00"/>
    <x v="0"/>
    <s v="SAGBAY AGUIRRE JHEISON ROLANDO"/>
    <x v="0"/>
    <n v="28"/>
    <x v="0"/>
    <x v="0"/>
    <s v="RINOFARINGITIS"/>
    <x v="0"/>
    <s v="DEF"/>
    <s v="MECANICO DE PROYECTO"/>
    <x v="2"/>
    <n v="3"/>
  </r>
  <r>
    <d v="2024-01-22T00:00:00"/>
    <x v="0"/>
    <s v="CALVA CARRION TITO STALIN"/>
    <x v="0"/>
    <n v="27"/>
    <x v="0"/>
    <x v="0"/>
    <s v="ACIDEZ ESTOMACAL "/>
    <x v="6"/>
    <s v="DEF"/>
    <s v="OBRERO DE CAMPO "/>
    <x v="0"/>
    <n v="3"/>
  </r>
  <r>
    <d v="2024-01-22T00:00:00"/>
    <x v="0"/>
    <s v="CORREA JIMENEZ JOSE DEMECIO"/>
    <x v="0"/>
    <n v="25"/>
    <x v="0"/>
    <x v="0"/>
    <s v="DOLOR MOLAR"/>
    <x v="8"/>
    <s v="DEF"/>
    <s v="OBRERO DE CAMPO "/>
    <x v="0"/>
    <n v="3"/>
  </r>
  <r>
    <d v="2024-01-22T00:00:00"/>
    <x v="0"/>
    <s v="JATIVA CAVIEDES KARINA LIZETH"/>
    <x v="1"/>
    <n v="29"/>
    <x v="0"/>
    <x v="0"/>
    <s v="GASTRITIS"/>
    <x v="6"/>
    <s v="DEF"/>
    <s v="ASISTENTE DE TALENTO HUMANO"/>
    <x v="3"/>
    <n v="3"/>
  </r>
  <r>
    <d v="2024-01-22T00:00:00"/>
    <x v="0"/>
    <s v="SOLORZANO PUENTES NEFFER"/>
    <x v="1"/>
    <n v="32"/>
    <x v="0"/>
    <x v="0"/>
    <s v="CEFALEA TENSIONAL"/>
    <x v="2"/>
    <s v="DEF"/>
    <s v="ASISTENTE HSE"/>
    <x v="3"/>
    <n v="3"/>
  </r>
  <r>
    <d v="2024-01-23T00:00:00"/>
    <x v="0"/>
    <s v="RODRIGUEZ TORRES JOSE PAUL "/>
    <x v="0"/>
    <n v="38"/>
    <x v="0"/>
    <x v="0"/>
    <s v="DERMATITIS ALERGICA"/>
    <x v="7"/>
    <s v="DEF"/>
    <s v="OBRERO DE CAMPO"/>
    <x v="0"/>
    <n v="3"/>
  </r>
  <r>
    <d v="2024-01-23T00:00:00"/>
    <x v="0"/>
    <s v="AYALA TORRES HECTOR MAURICIO"/>
    <x v="0"/>
    <n v="23"/>
    <x v="0"/>
    <x v="0"/>
    <s v="RESFRIADO COMUN"/>
    <x v="0"/>
    <s v="DEF"/>
    <s v="AYUDANTE DE PERFORACION"/>
    <x v="0"/>
    <n v="3"/>
  </r>
  <r>
    <d v="2024-01-24T00:00:00"/>
    <x v="0"/>
    <s v="TORRES PACHECO JOSE ANTONIO"/>
    <x v="0"/>
    <n v="39"/>
    <x v="0"/>
    <x v="0"/>
    <s v="DOLOR MUSCULAR GENERALIZADO"/>
    <x v="1"/>
    <s v="DEF"/>
    <s v="OBRERO DE CAMPO"/>
    <x v="0"/>
    <n v="3"/>
  </r>
  <r>
    <d v="2024-01-24T00:00:00"/>
    <x v="0"/>
    <s v="CUEVA RODRIGUEZ RONALD VICENTE"/>
    <x v="0"/>
    <n v="25"/>
    <x v="0"/>
    <x v="0"/>
    <s v="CEFALEA TENSIONAL"/>
    <x v="2"/>
    <s v="DEF"/>
    <s v="OBRERO DE CAMPO "/>
    <x v="0"/>
    <n v="3"/>
  </r>
  <r>
    <d v="2024-01-24T00:00:00"/>
    <x v="0"/>
    <s v="SILVA CHACHA EDISON PATRICIO"/>
    <x v="0"/>
    <n v="31"/>
    <x v="0"/>
    <x v="0"/>
    <s v="DOLOR MUSCULAR GENERALIZADO"/>
    <x v="1"/>
    <s v="DEF"/>
    <s v="AYUDANTE DE PERFORACION"/>
    <x v="0"/>
    <n v="3"/>
  </r>
  <r>
    <d v="2024-01-24T00:00:00"/>
    <x v="0"/>
    <s v="AWAK CHUINDA BYRON PATRICIO"/>
    <x v="0"/>
    <n v="36"/>
    <x v="0"/>
    <x v="0"/>
    <s v="DOLOR MUSCULAR GENERALIZADO"/>
    <x v="1"/>
    <s v="DEF"/>
    <s v="AYUDANTE DE PERFORACION"/>
    <x v="0"/>
    <n v="3"/>
  </r>
  <r>
    <d v="2024-01-24T00:00:00"/>
    <x v="0"/>
    <s v="BONILLA VILLACIS HENRI ALFREDO"/>
    <x v="0"/>
    <n v="44"/>
    <x v="0"/>
    <x v="0"/>
    <s v="DISPEPSIA"/>
    <x v="6"/>
    <s v="DEF"/>
    <s v="PERFORISTA"/>
    <x v="0"/>
    <n v="3"/>
  </r>
  <r>
    <d v="2024-01-24T00:00:00"/>
    <x v="0"/>
    <s v="BRAVO SALDARRIAGA ERICK LEONARDO"/>
    <x v="0"/>
    <n v="23"/>
    <x v="0"/>
    <x v="0"/>
    <s v="DOLOR MUSCULAR GENERALIZADO"/>
    <x v="1"/>
    <s v="DEF"/>
    <s v="AYUDANTE DE PERFORACION"/>
    <x v="0"/>
    <n v="3"/>
  </r>
  <r>
    <d v="2024-01-24T00:00:00"/>
    <x v="0"/>
    <s v="CONFORME PACHECO KATTY MARBEL"/>
    <x v="1"/>
    <n v="26"/>
    <x v="0"/>
    <x v="0"/>
    <s v="DISMENORREA"/>
    <x v="5"/>
    <s v="DEF"/>
    <s v="ASISTENTE HSE"/>
    <x v="3"/>
    <n v="3"/>
  </r>
  <r>
    <d v="2024-01-25T00:00:00"/>
    <x v="0"/>
    <s v="PALLO TATES MAURICIO RICARDO"/>
    <x v="0"/>
    <n v="32"/>
    <x v="0"/>
    <x v="0"/>
    <s v="CIATALGIA"/>
    <x v="1"/>
    <s v="DEF"/>
    <s v="ASISTENTE DE BODEGA"/>
    <x v="1"/>
    <n v="3"/>
  </r>
  <r>
    <d v="2024-01-25T00:00:00"/>
    <x v="0"/>
    <s v="JIMENEZ CASTILLO JORGE LUIS"/>
    <x v="0"/>
    <n v="34"/>
    <x v="0"/>
    <x v="0"/>
    <s v="EPIGASTRALGIA"/>
    <x v="6"/>
    <s v="PRES"/>
    <s v="OBRERO DE CAMPO"/>
    <x v="0"/>
    <n v="3"/>
  </r>
  <r>
    <d v="2024-01-26T00:00:00"/>
    <x v="0"/>
    <s v="ORTIZ CARRION CLAUDIO ROBERTO"/>
    <x v="0"/>
    <n v="54"/>
    <x v="0"/>
    <x v="0"/>
    <s v="DISPEPSIA"/>
    <x v="6"/>
    <s v="DEF"/>
    <s v="OBRERO DE CAMPO"/>
    <x v="0"/>
    <n v="3"/>
  </r>
  <r>
    <d v="2024-01-26T00:00:00"/>
    <x v="0"/>
    <s v="RODRIGUEZ TORRES JOSE PAUL "/>
    <x v="0"/>
    <n v="38"/>
    <x v="0"/>
    <x v="0"/>
    <s v="RASH ALERGICO"/>
    <x v="7"/>
    <s v="DEF"/>
    <s v="OBRERO DE CAMPO"/>
    <x v="0"/>
    <n v="3"/>
  </r>
  <r>
    <d v="2024-01-27T00:00:00"/>
    <x v="0"/>
    <s v="QUIROZ GÓMEZ KEVIN JOEL"/>
    <x v="0"/>
    <n v="22"/>
    <x v="0"/>
    <x v="0"/>
    <s v="CONJUNTIVITIS OJO DERECHO"/>
    <x v="9"/>
    <s v="DEF"/>
    <s v="AYUDANTE DE PERFORACION"/>
    <x v="2"/>
    <n v="3"/>
  </r>
  <r>
    <d v="2024-01-27T00:00:00"/>
    <x v="0"/>
    <s v="OÑA AYALA BRYAN ALEXANDER"/>
    <x v="0"/>
    <n v="24"/>
    <x v="0"/>
    <x v="0"/>
    <s v="RINOFARINGITIS"/>
    <x v="0"/>
    <s v="DEF"/>
    <s v="AYUDANTE DE PERFORACION"/>
    <x v="2"/>
    <n v="3"/>
  </r>
  <r>
    <d v="2024-01-28T00:00:00"/>
    <x v="0"/>
    <s v="GANCHOZO MUÑOZ RAFAEL ANTONIO "/>
    <x v="0"/>
    <n v="26"/>
    <x v="0"/>
    <x v="0"/>
    <s v="DISPEPSIA"/>
    <x v="6"/>
    <s v="DEF"/>
    <s v="LOGISTICO DE PROYECTO"/>
    <x v="0"/>
    <n v="3"/>
  </r>
  <r>
    <d v="2024-01-28T00:00:00"/>
    <x v="0"/>
    <s v="MORENO AMORES SOFIA ALEJANDRA"/>
    <x v="1"/>
    <n v="31"/>
    <x v="0"/>
    <x v="0"/>
    <s v="RESFRIADO COMUN"/>
    <x v="0"/>
    <s v="DEF"/>
    <s v="RESPONSABLE HSE"/>
    <x v="0"/>
    <n v="3"/>
  </r>
  <r>
    <d v="2024-01-28T00:00:00"/>
    <x v="0"/>
    <s v="PORRAS CORDOVA JEFFERSON VINICIO"/>
    <x v="0"/>
    <n v="47"/>
    <x v="0"/>
    <x v="0"/>
    <s v="DERMATITIS ATOPICA"/>
    <x v="7"/>
    <s v="DEF"/>
    <s v="AYUDANTE DE PERFORACION"/>
    <x v="0"/>
    <n v="3"/>
  </r>
  <r>
    <d v="2024-01-28T00:00:00"/>
    <x v="0"/>
    <s v="CAUJA PILATAXI KARINA MARIVEL "/>
    <x v="1"/>
    <n v="30"/>
    <x v="0"/>
    <x v="0"/>
    <s v="DISPEPSIA"/>
    <x v="6"/>
    <s v="DEF"/>
    <s v="ASISTENTE HSE"/>
    <x v="0"/>
    <n v="3"/>
  </r>
  <r>
    <d v="2024-01-29T00:00:00"/>
    <x v="0"/>
    <s v="CARCELEN MENDEZ MARIA JOSE"/>
    <x v="1"/>
    <n v="28"/>
    <x v="0"/>
    <x v="0"/>
    <s v="IRRITACION OCULAR"/>
    <x v="9"/>
    <s v="DEF"/>
    <s v="ASISTENTE HSE"/>
    <x v="3"/>
    <n v="3"/>
  </r>
  <r>
    <d v="2024-01-29T00:00:00"/>
    <x v="0"/>
    <s v="AGUILAR SALINAS JOSE MIGUEL"/>
    <x v="0"/>
    <n v="36"/>
    <x v="0"/>
    <x v="0"/>
    <s v="ENFERMEDAD DIARREICA AGUDA"/>
    <x v="6"/>
    <s v="DEF"/>
    <s v="LOGISTICO DE PROYECTO"/>
    <x v="2"/>
    <n v="3"/>
  </r>
  <r>
    <d v="2024-01-30T00:00:00"/>
    <x v="0"/>
    <s v="CHIMBO PIÑA EDWIN JAVIER "/>
    <x v="0"/>
    <n v="34"/>
    <x v="0"/>
    <x v="0"/>
    <s v="INSOLACION"/>
    <x v="4"/>
    <s v="DEF"/>
    <s v="MECANICO DE PROYECTO"/>
    <x v="2"/>
    <n v="3"/>
  </r>
  <r>
    <d v="2024-01-30T00:00:00"/>
    <x v="0"/>
    <s v="JIEMENEZ RODRIGUEZ LENIN FRANCISCO "/>
    <x v="0"/>
    <s v=""/>
    <x v="0"/>
    <x v="0"/>
    <s v="FARINGITIS"/>
    <x v="0"/>
    <s v="DEF"/>
    <s v="OBRERO DE CAMPO"/>
    <x v="0"/>
    <n v="3"/>
  </r>
  <r>
    <d v="2024-01-30T00:00:00"/>
    <x v="0"/>
    <s v="GANCHOZO MUÑOZ RAFAEL ANTONIO "/>
    <x v="0"/>
    <n v="26"/>
    <x v="0"/>
    <x v="0"/>
    <s v="CONTUSION EN DEDO DE LA MANO "/>
    <x v="10"/>
    <s v="DEF"/>
    <s v="LOGISTICO DE PROYECTO"/>
    <x v="0"/>
    <n v="3"/>
  </r>
  <r>
    <d v="2024-01-31T00:00:00"/>
    <x v="0"/>
    <s v="ABAD SUAREZ JIMMY ARMANDO"/>
    <x v="0"/>
    <n v="43"/>
    <x v="0"/>
    <x v="0"/>
    <s v="FARINGITIS"/>
    <x v="0"/>
    <s v="DEF"/>
    <s v="SUPERVISOR DE PROYECTO"/>
    <x v="0"/>
    <n v="3"/>
  </r>
  <r>
    <d v="2024-02-01T00:00:00"/>
    <x v="1"/>
    <s v="DELGADO DIAZ ALEXANDRA ELIZABETH"/>
    <x v="1"/>
    <n v="35"/>
    <x v="0"/>
    <x v="0"/>
    <s v="CONTUSION DE DEDO[S] DE LA MANO"/>
    <x v="10"/>
    <s v="DEF"/>
    <s v="SERVICIOS GENERALES"/>
    <x v="3"/>
    <n v="2"/>
  </r>
  <r>
    <d v="2024-02-01T00:00:00"/>
    <x v="1"/>
    <s v="CUYO VEGA DARWIN EFRAIN"/>
    <x v="0"/>
    <n v="30"/>
    <x v="0"/>
    <x v="0"/>
    <s v="RASH ALERGICO"/>
    <x v="7"/>
    <s v="DEF"/>
    <s v="ASISTENTE HSE"/>
    <x v="0"/>
    <n v="3"/>
  </r>
  <r>
    <d v="2024-02-01T00:00:00"/>
    <x v="1"/>
    <s v="GANCHOZO MUÑOZ RAFAEL ANTONIO "/>
    <x v="0"/>
    <n v="26"/>
    <x v="0"/>
    <x v="0"/>
    <s v="FATIGA Y MALESTAR"/>
    <x v="4"/>
    <s v="DEF"/>
    <s v="LOGISTICO DE PROYECTO"/>
    <x v="0"/>
    <n v="3"/>
  </r>
  <r>
    <d v="2024-02-01T00:00:00"/>
    <x v="1"/>
    <s v="TOAPANTA CAJAHUISHCA DIEGO  GEOVANNY"/>
    <x v="0"/>
    <n v="27"/>
    <x v="0"/>
    <x v="0"/>
    <s v="DISPEPSIA"/>
    <x v="6"/>
    <s v="DEF"/>
    <s v="MECANICO DE PROYECTO"/>
    <x v="0"/>
    <n v="3"/>
  </r>
  <r>
    <d v="2024-02-02T00:00:00"/>
    <x v="1"/>
    <s v="CARCELEN MENDEZ MARIA JOSE"/>
    <x v="1"/>
    <n v="28"/>
    <x v="0"/>
    <x v="0"/>
    <s v="AFTA BUCAL"/>
    <x v="8"/>
    <s v="DEF"/>
    <s v="ASISTENTE HSE"/>
    <x v="3"/>
    <n v="3"/>
  </r>
  <r>
    <d v="2024-02-02T00:00:00"/>
    <x v="1"/>
    <s v="RODRIGUEZ TORRES MAURICIO FERMIN"/>
    <x v="0"/>
    <n v="36"/>
    <x v="0"/>
    <x v="0"/>
    <s v="DOLOR MUSCULAR GENERALIZADO"/>
    <x v="1"/>
    <s v="DEF"/>
    <s v="OBRERO DE CAMPO"/>
    <x v="0"/>
    <n v="3"/>
  </r>
  <r>
    <d v="2024-02-02T00:00:00"/>
    <x v="1"/>
    <s v="QUIROZ GÓMEZ KEVIN JOEL"/>
    <x v="0"/>
    <n v="22"/>
    <x v="0"/>
    <x v="0"/>
    <s v="RESFRIADO COMUN"/>
    <x v="0"/>
    <s v="DEF"/>
    <s v="AYUDANTE DE PERFORACION"/>
    <x v="2"/>
    <n v="3"/>
  </r>
  <r>
    <d v="2024-02-02T00:00:00"/>
    <x v="1"/>
    <s v="OÑA AYALA BRYAN ALEXANDER"/>
    <x v="0"/>
    <n v="24"/>
    <x v="0"/>
    <x v="0"/>
    <s v="RESFRIADO COMUN"/>
    <x v="0"/>
    <s v="DEF"/>
    <s v="AYUDANTE DE PERFORACION"/>
    <x v="2"/>
    <n v="3"/>
  </r>
  <r>
    <d v="2024-02-03T00:00:00"/>
    <x v="1"/>
    <s v="CAUJA PILATAXI KARINA MARIVEL "/>
    <x v="1"/>
    <n v="30"/>
    <x v="0"/>
    <x v="0"/>
    <s v="DISPEPSIA"/>
    <x v="6"/>
    <s v="DEF"/>
    <s v="ASISTENTE HSE"/>
    <x v="0"/>
    <n v="3"/>
  </r>
  <r>
    <d v="2024-02-04T00:00:00"/>
    <x v="1"/>
    <s v="TORRES PARDO JOSE JAVIER"/>
    <x v="0"/>
    <n v="35"/>
    <x v="0"/>
    <x v="0"/>
    <s v="DOLOR MUSCULAR GENERALIZADO"/>
    <x v="1"/>
    <s v="DEF"/>
    <s v="OBRERO DE CAMPO"/>
    <x v="0"/>
    <n v="3"/>
  </r>
  <r>
    <d v="2024-02-04T00:00:00"/>
    <x v="1"/>
    <s v="QUIROZ GÓMEZ KEVIN JOEL"/>
    <x v="0"/>
    <n v="22"/>
    <x v="0"/>
    <x v="0"/>
    <s v="RINOFARINGITIS"/>
    <x v="0"/>
    <s v="PRES"/>
    <s v="AYUDANTE DE PERFORACION"/>
    <x v="2"/>
    <n v="3"/>
  </r>
  <r>
    <d v="2024-02-05T00:00:00"/>
    <x v="1"/>
    <s v="OVIEDO MONCADA JOSE JAYRO"/>
    <x v="0"/>
    <n v="35"/>
    <x v="0"/>
    <x v="0"/>
    <s v="DOLOR MUSCULAR GENERALIZADO"/>
    <x v="1"/>
    <s v="DEF"/>
    <s v="OBRERO DE CAMPO"/>
    <x v="0"/>
    <n v="3"/>
  </r>
  <r>
    <d v="2024-02-05T00:00:00"/>
    <x v="1"/>
    <s v="RODRIGUEZ TORRES MAURICIO FERMIN"/>
    <x v="0"/>
    <n v="36"/>
    <x v="0"/>
    <x v="0"/>
    <s v="DISPEPSIA"/>
    <x v="6"/>
    <s v="DEF"/>
    <s v="OBRERO DE CAMPO"/>
    <x v="0"/>
    <n v="3"/>
  </r>
  <r>
    <d v="2024-02-05T00:00:00"/>
    <x v="1"/>
    <s v="HERRERA ESPINOZA JORGE VINICIO"/>
    <x v="0"/>
    <n v="30"/>
    <x v="0"/>
    <x v="0"/>
    <s v="CEFALEA TENSIONAL"/>
    <x v="2"/>
    <s v="DEF"/>
    <s v="CONDUCTOR LOGISTICO"/>
    <x v="0"/>
    <n v="3"/>
  </r>
  <r>
    <d v="2024-02-05T00:00:00"/>
    <x v="1"/>
    <s v="MORENO AMORES SOFIA ALEJANDRA"/>
    <x v="1"/>
    <n v="31"/>
    <x v="0"/>
    <x v="0"/>
    <s v="DIARREA"/>
    <x v="6"/>
    <s v="DEF"/>
    <s v="RESPONSABLE HSE"/>
    <x v="0"/>
    <n v="3"/>
  </r>
  <r>
    <d v="2024-02-06T00:00:00"/>
    <x v="1"/>
    <s v="TORRES PARDO PATRICIO MARCELO"/>
    <x v="0"/>
    <n v="54"/>
    <x v="0"/>
    <x v="0"/>
    <s v="RESFRIADO COMUN"/>
    <x v="0"/>
    <s v="DEF"/>
    <s v="OBRERO DE CAMPO"/>
    <x v="0"/>
    <n v="3"/>
  </r>
  <r>
    <d v="2024-02-06T00:00:00"/>
    <x v="1"/>
    <s v="TORRES PARDO JOSE JAVIER"/>
    <x v="0"/>
    <n v="35"/>
    <x v="0"/>
    <x v="0"/>
    <s v="DOLOR ARTICULAR DE RODILLA"/>
    <x v="1"/>
    <s v="DEF"/>
    <s v="OBRERO DE CAMPO"/>
    <x v="0"/>
    <n v="3"/>
  </r>
  <r>
    <d v="2024-02-06T00:00:00"/>
    <x v="1"/>
    <s v="JIMENEZ GAONA JOSE CELESTINO"/>
    <x v="0"/>
    <n v="43"/>
    <x v="0"/>
    <x v="0"/>
    <s v="DOLOR MUSCULAR GENERALIZADO"/>
    <x v="1"/>
    <s v="DEF"/>
    <s v="OBRERO DE CAMPO"/>
    <x v="0"/>
    <n v="3"/>
  </r>
  <r>
    <d v="2024-02-07T00:00:00"/>
    <x v="1"/>
    <s v="CONFORME PACHECO KATTY MARBEL"/>
    <x v="1"/>
    <n v="26"/>
    <x v="0"/>
    <x v="0"/>
    <s v="MAREO"/>
    <x v="4"/>
    <s v="DEF"/>
    <s v="ASISTENTE HSE"/>
    <x v="3"/>
    <n v="3"/>
  </r>
  <r>
    <d v="2024-02-07T00:00:00"/>
    <x v="1"/>
    <s v="SALVADOR ESPIN MARIA CRISTINA"/>
    <x v="1"/>
    <n v="27"/>
    <x v="0"/>
    <x v="0"/>
    <s v="LUMBALGIA SIN CIATALGIA"/>
    <x v="1"/>
    <s v="DEF"/>
    <s v="ASISTENTE DE LOGISTICA"/>
    <x v="1"/>
    <n v="3"/>
  </r>
  <r>
    <d v="2024-02-07T00:00:00"/>
    <x v="1"/>
    <s v="CARRION CUEVA CARLOS FRANCISCO"/>
    <x v="0"/>
    <n v="22"/>
    <x v="0"/>
    <x v="0"/>
    <s v="CEFALEA TENSIONAL"/>
    <x v="2"/>
    <s v="DEF"/>
    <s v="OBRERO DE CAMPO "/>
    <x v="0"/>
    <n v="3"/>
  </r>
  <r>
    <d v="2024-02-07T00:00:00"/>
    <x v="1"/>
    <s v="JIMENEZ JIMENEZ JOSE ANDRES"/>
    <x v="0"/>
    <n v="27"/>
    <x v="0"/>
    <x v="0"/>
    <s v="DISPEPSIA"/>
    <x v="6"/>
    <s v="DEF"/>
    <s v="OBRERO DE CAMPO"/>
    <x v="0"/>
    <n v="3"/>
  </r>
  <r>
    <d v="2024-02-07T00:00:00"/>
    <x v="1"/>
    <s v="CONDE QUEZADA CRISTIAN ALBERTO"/>
    <x v="0"/>
    <n v="37"/>
    <x v="0"/>
    <x v="0"/>
    <s v="DISPEPSIA"/>
    <x v="6"/>
    <s v="DEF"/>
    <s v="CONDUCTOR LOGISTICO"/>
    <x v="0"/>
    <n v="3"/>
  </r>
  <r>
    <d v="2024-02-08T00:00:00"/>
    <x v="1"/>
    <s v="PINTADO VIVANCO JONATHAN CRISTOBAL"/>
    <x v="0"/>
    <n v="28"/>
    <x v="0"/>
    <x v="0"/>
    <s v="DISPEPSIA"/>
    <x v="6"/>
    <s v="DEF"/>
    <s v="CONDUCTOR LOGISTICO"/>
    <x v="0"/>
    <n v="3"/>
  </r>
  <r>
    <d v="2024-02-08T00:00:00"/>
    <x v="1"/>
    <s v="PEÑAFIEL MAFLA WILSON JOSELO"/>
    <x v="0"/>
    <n v="31"/>
    <x v="0"/>
    <x v="0"/>
    <s v="MALESTAR Y FATIGA"/>
    <x v="4"/>
    <s v="DEF"/>
    <s v="AYUDANTE DE PERFORACION"/>
    <x v="0"/>
    <n v="3"/>
  </r>
  <r>
    <d v="2024-02-08T00:00:00"/>
    <x v="1"/>
    <s v="CAUJA PILATAXI KARINA MARIVEL "/>
    <x v="1"/>
    <n v="30"/>
    <x v="0"/>
    <x v="0"/>
    <s v="LUMBALGIA SIN CIATALGIA"/>
    <x v="1"/>
    <s v="DEF"/>
    <s v="ASISTENTE HSE"/>
    <x v="0"/>
    <n v="3"/>
  </r>
  <r>
    <d v="2024-02-09T00:00:00"/>
    <x v="1"/>
    <s v="CARRIÓN PARDO MARCELO MINOS"/>
    <x v="0"/>
    <n v="34"/>
    <x v="0"/>
    <x v="0"/>
    <s v="DOLOR MUSCULAR GENERALIZADO"/>
    <x v="1"/>
    <s v="DEF"/>
    <s v="OBRERO DE CAMPO "/>
    <x v="0"/>
    <n v="3"/>
  </r>
  <r>
    <d v="2024-02-10T00:00:00"/>
    <x v="1"/>
    <s v="ROMERO SOTO HERMAN GONZALO"/>
    <x v="0"/>
    <n v="50"/>
    <x v="0"/>
    <x v="0"/>
    <s v="LUMBALGIA SIN CIATALGIA"/>
    <x v="1"/>
    <s v="DEF"/>
    <s v="PERFORISTA"/>
    <x v="0"/>
    <n v="3"/>
  </r>
  <r>
    <d v="2024-02-10T00:00:00"/>
    <x v="1"/>
    <s v="CAUJA PILATAXI KARINA MARIVEL "/>
    <x v="1"/>
    <n v="30"/>
    <x v="0"/>
    <x v="0"/>
    <s v="LUMBALGIA SIN CIATALGIA"/>
    <x v="1"/>
    <s v="DEF"/>
    <s v="ASISTENTE HSE"/>
    <x v="0"/>
    <n v="3"/>
  </r>
  <r>
    <d v="2024-02-10T00:00:00"/>
    <x v="1"/>
    <s v="RODRIGUEZ RAMOS DANNY IVAN"/>
    <x v="0"/>
    <n v="29"/>
    <x v="0"/>
    <x v="0"/>
    <s v="AMIGDALITIS"/>
    <x v="0"/>
    <s v="DEF"/>
    <s v="AYUDANTE DE PERFORACION"/>
    <x v="4"/>
    <n v="1"/>
  </r>
  <r>
    <d v="2024-02-11T00:00:00"/>
    <x v="1"/>
    <s v="ROMERO SOTO HERMAN GONZALO"/>
    <x v="0"/>
    <n v="50"/>
    <x v="0"/>
    <x v="0"/>
    <s v="LUMBALGIA SIN CIATALGIA"/>
    <x v="1"/>
    <s v="DEF"/>
    <s v="PERFORISTA"/>
    <x v="0"/>
    <n v="3"/>
  </r>
  <r>
    <d v="2024-02-11T00:00:00"/>
    <x v="1"/>
    <s v="CAUJA PILATAXI KARINA MARIVEL "/>
    <x v="1"/>
    <n v="30"/>
    <x v="0"/>
    <x v="0"/>
    <s v="LUMBALGIA SIN CIATALGIA"/>
    <x v="1"/>
    <s v="DEF"/>
    <s v="ASISTENTE HSE"/>
    <x v="0"/>
    <n v="3"/>
  </r>
  <r>
    <d v="2024-02-11T00:00:00"/>
    <x v="1"/>
    <s v="GIRON GIRON JOSE BENEDICTO"/>
    <x v="0"/>
    <n v="27"/>
    <x v="0"/>
    <x v="0"/>
    <s v="DOLOR MUSCULAR GENERALIZADO"/>
    <x v="1"/>
    <s v="DEF"/>
    <s v="OBRERO DE CAMPO"/>
    <x v="0"/>
    <n v="3"/>
  </r>
  <r>
    <d v="2024-02-12T00:00:00"/>
    <x v="1"/>
    <s v="GAMBOA BAUTISTA JUAN CARLOS"/>
    <x v="0"/>
    <n v="39"/>
    <x v="0"/>
    <x v="0"/>
    <s v="DOLOR MUSCULAR GENERALIZADO"/>
    <x v="1"/>
    <s v="DEF"/>
    <s v="SUPERVISOR DE PROYECTO"/>
    <x v="2"/>
    <n v="3"/>
  </r>
  <r>
    <d v="2024-02-12T00:00:00"/>
    <x v="1"/>
    <s v="AGUILAR SALINAS JOSE MIGUEL"/>
    <x v="0"/>
    <n v="36"/>
    <x v="0"/>
    <x v="0"/>
    <s v="CEFALEA TENSIONAL"/>
    <x v="2"/>
    <s v="DEF"/>
    <s v="LOGISTICO DE PROYECTO"/>
    <x v="2"/>
    <n v="3"/>
  </r>
  <r>
    <d v="2024-02-12T00:00:00"/>
    <x v="1"/>
    <s v="AGUILAR SALINAS JOSE MIGUEL"/>
    <x v="0"/>
    <n v="36"/>
    <x v="0"/>
    <x v="0"/>
    <s v="DISPEPSIA"/>
    <x v="6"/>
    <s v="DEF"/>
    <s v="LOGISTICO DE PROYECTO"/>
    <x v="2"/>
    <n v="3"/>
  </r>
  <r>
    <d v="2024-02-13T00:00:00"/>
    <x v="1"/>
    <s v="TROYA JIMENEZ JOSE FABIAN"/>
    <x v="0"/>
    <s v=""/>
    <x v="0"/>
    <x v="0"/>
    <s v="DISPEPSIA"/>
    <x v="6"/>
    <s v="DEF"/>
    <s v="OBRERO DE CAMPO"/>
    <x v="0"/>
    <n v="3"/>
  </r>
  <r>
    <d v="2024-02-13T00:00:00"/>
    <x v="1"/>
    <s v="GONZALEZ MORENO YOHANA PAULINA"/>
    <x v="1"/>
    <n v="30"/>
    <x v="0"/>
    <x v="0"/>
    <s v="DISPEPSIA"/>
    <x v="6"/>
    <s v="DEF"/>
    <s v="OBRERO DE CAMPO"/>
    <x v="0"/>
    <n v="3"/>
  </r>
  <r>
    <d v="2024-02-13T00:00:00"/>
    <x v="1"/>
    <s v="SAGBAY AGUIRRE JHEISON ROLANDO"/>
    <x v="0"/>
    <n v="28"/>
    <x v="0"/>
    <x v="0"/>
    <s v="DOLOR MUSCULAR DE EXTREMIDADES INFERIORES"/>
    <x v="1"/>
    <s v="DEF"/>
    <s v="MECANICO DE PROYECTO"/>
    <x v="2"/>
    <n v="3"/>
  </r>
  <r>
    <d v="2024-02-14T00:00:00"/>
    <x v="1"/>
    <s v="SALVADOR ESPIN MARIA CRISTINA"/>
    <x v="1"/>
    <n v="27"/>
    <x v="0"/>
    <x v="0"/>
    <s v="LUMBALGIA SIN CIATALGIA"/>
    <x v="1"/>
    <s v="DEF"/>
    <s v="ASISTENTE DE LOGISTICA"/>
    <x v="1"/>
    <n v="3"/>
  </r>
  <r>
    <d v="2024-02-14T00:00:00"/>
    <x v="1"/>
    <s v="DELGADO DIAZ ALEXANDRA ELIZABETH"/>
    <x v="1"/>
    <n v="35"/>
    <x v="0"/>
    <x v="0"/>
    <s v="GASTRITIS "/>
    <x v="6"/>
    <s v="PRES"/>
    <s v="SERVICIOS GENERALES"/>
    <x v="3"/>
    <n v="3"/>
  </r>
  <r>
    <d v="2024-02-14T00:00:00"/>
    <x v="1"/>
    <s v="MORENO AMORES SOFIA ALEJANDRA"/>
    <x v="1"/>
    <n v="31"/>
    <x v="0"/>
    <x v="0"/>
    <s v="CEFALEA TENSIONAL"/>
    <x v="2"/>
    <s v="DEF"/>
    <s v="RESPONSABLE HSE"/>
    <x v="0"/>
    <n v="3"/>
  </r>
  <r>
    <d v="2024-02-14T00:00:00"/>
    <x v="1"/>
    <s v="JIMENEZ AVILA COSME MANUEL"/>
    <x v="0"/>
    <s v=""/>
    <x v="0"/>
    <x v="0"/>
    <s v="DOLOR DE PIEZA DENTAL"/>
    <x v="8"/>
    <s v="DEF"/>
    <s v="OBRERO DE CAMPO"/>
    <x v="0"/>
    <n v="3"/>
  </r>
  <r>
    <d v="2024-02-14T00:00:00"/>
    <x v="1"/>
    <s v="ALVARADO BORJA JOSE MARCELO"/>
    <x v="0"/>
    <n v="31"/>
    <x v="0"/>
    <x v="0"/>
    <s v="PARONIQUIA DE TERCER DEDO DE MANO DERECHA"/>
    <x v="7"/>
    <s v="DEF"/>
    <s v="MEDICO DE CAMPO"/>
    <x v="2"/>
    <n v="3"/>
  </r>
  <r>
    <d v="2024-02-15T00:00:00"/>
    <x v="1"/>
    <s v="SOLORZANO PUENTES NEFFER"/>
    <x v="1"/>
    <n v="32"/>
    <x v="0"/>
    <x v="0"/>
    <s v="MIGRANA CON AURA"/>
    <x v="2"/>
    <s v="DEF"/>
    <s v="ASISTENTE HSE"/>
    <x v="3"/>
    <n v="3"/>
  </r>
  <r>
    <d v="2024-02-15T00:00:00"/>
    <x v="1"/>
    <s v="PIEDRA PIEDRA JAYRO BLADIMIR"/>
    <x v="0"/>
    <n v="33"/>
    <x v="0"/>
    <x v="0"/>
    <s v="MIGRAÑA SIN AURA"/>
    <x v="2"/>
    <s v="DEF"/>
    <s v="SOLDADOR"/>
    <x v="1"/>
    <n v="3"/>
  </r>
  <r>
    <d v="2024-02-15T00:00:00"/>
    <x v="1"/>
    <s v="ABAD SUAREZ JIMMY ARMANDO"/>
    <x v="0"/>
    <n v="43"/>
    <x v="0"/>
    <x v="0"/>
    <s v="DOLOR MUSCULAR GENERALIZADO"/>
    <x v="1"/>
    <s v="DEF"/>
    <s v="SUPERVISOR DE PROYECTO"/>
    <x v="0"/>
    <n v="3"/>
  </r>
  <r>
    <d v="2024-02-15T00:00:00"/>
    <x v="1"/>
    <s v="SUQUI PACHECO GABRIELA DEL CISNE"/>
    <x v="1"/>
    <n v="39"/>
    <x v="0"/>
    <x v="0"/>
    <s v="RESFRIADO COMUN"/>
    <x v="0"/>
    <s v="DEF"/>
    <s v="OBRERO DE CAMPO"/>
    <x v="0"/>
    <n v="3"/>
  </r>
  <r>
    <d v="2024-02-16T00:00:00"/>
    <x v="1"/>
    <s v="CASTILLO MORALES JUAN CARLOS"/>
    <x v="0"/>
    <n v="45"/>
    <x v="0"/>
    <x v="0"/>
    <s v="RASH ALERGICO"/>
    <x v="7"/>
    <s v="DEF"/>
    <s v="SUPERVISOR DE PROYECTO"/>
    <x v="0"/>
    <n v="3"/>
  </r>
  <r>
    <d v="2024-02-16T00:00:00"/>
    <x v="1"/>
    <s v="BARRAGAN VASCONEZ CRISTIAN OMAR"/>
    <x v="0"/>
    <n v="31"/>
    <x v="0"/>
    <x v="0"/>
    <s v="RINOFARINGITIS"/>
    <x v="0"/>
    <s v="DEF"/>
    <s v="AYUDANTE DE PERFORACION"/>
    <x v="2"/>
    <n v="3"/>
  </r>
  <r>
    <d v="2024-02-17T00:00:00"/>
    <x v="1"/>
    <s v="CUYO VEGA DARWIN EFRAIN"/>
    <x v="0"/>
    <n v="30"/>
    <x v="0"/>
    <x v="0"/>
    <s v="RESFRIADO COMUN"/>
    <x v="0"/>
    <s v="DEF"/>
    <s v="ASISTENTE HSE"/>
    <x v="0"/>
    <n v="3"/>
  </r>
  <r>
    <d v="2024-02-17T00:00:00"/>
    <x v="1"/>
    <s v="GUEVARA HARO FREDDY OSWALDO"/>
    <x v="0"/>
    <n v="38"/>
    <x v="1"/>
    <x v="0"/>
    <s v="HERIDA CORTANTE DE 5TO DEDO DE LA MANO IZQUIERDA, SIN DAÑO EN LA UÑA"/>
    <x v="11"/>
    <s v="DEF"/>
    <s v="AYUDANTE DE PERFORACION"/>
    <x v="2"/>
    <n v="3"/>
  </r>
  <r>
    <d v="2024-02-18T00:00:00"/>
    <x v="1"/>
    <s v="PUWAINCHIR TSAHIMP YANTSA WALTER"/>
    <x v="0"/>
    <n v="29"/>
    <x v="0"/>
    <x v="0"/>
    <s v="MIGRAÑA SIN AURA"/>
    <x v="2"/>
    <s v="DEF"/>
    <s v="BOMBERO"/>
    <x v="0"/>
    <n v="3"/>
  </r>
  <r>
    <d v="2024-02-19T00:00:00"/>
    <x v="1"/>
    <s v="SIERRA OSORIO DIEGO FERNANDO"/>
    <x v="0"/>
    <n v="37"/>
    <x v="0"/>
    <x v="0"/>
    <s v="DOLOR MUSCULAR GENERALIZADO"/>
    <x v="1"/>
    <s v="DEF"/>
    <s v="GERENTE HSE"/>
    <x v="3"/>
    <n v="3"/>
  </r>
  <r>
    <d v="2024-02-20T00:00:00"/>
    <x v="1"/>
    <s v="BONILLA VILLACIS HOLGER RENE"/>
    <x v="0"/>
    <n v="32"/>
    <x v="0"/>
    <x v="0"/>
    <s v="ENFERMEDAD DIARREICA AGUDA"/>
    <x v="6"/>
    <s v="DEF"/>
    <s v="PERFORISTA"/>
    <x v="2"/>
    <n v="3"/>
  </r>
  <r>
    <d v="2024-02-21T00:00:00"/>
    <x v="1"/>
    <s v="CALVOPIÑA ACOSTA KAREN ARACELY"/>
    <x v="1"/>
    <n v="28"/>
    <x v="0"/>
    <x v="0"/>
    <s v="DOLOR MUSCULAR GENERALIZADO"/>
    <x v="1"/>
    <s v="DEF"/>
    <s v="ASISTENTE HSE"/>
    <x v="0"/>
    <n v="3"/>
  </r>
  <r>
    <d v="2024-02-21T00:00:00"/>
    <x v="1"/>
    <s v="LOPEZ  CALVOPIÑA KIMBERLIN DEANNA"/>
    <x v="1"/>
    <n v="29"/>
    <x v="0"/>
    <x v="0"/>
    <s v="DISPEPSIA"/>
    <x v="6"/>
    <s v="DEF"/>
    <s v="ASISTENTE HSE"/>
    <x v="0"/>
    <n v="3"/>
  </r>
  <r>
    <d v="2024-02-22T00:00:00"/>
    <x v="1"/>
    <s v="DELGADO DIAZ ALEXANDRA ELIZABETH"/>
    <x v="1"/>
    <n v="35"/>
    <x v="0"/>
    <x v="0"/>
    <s v="CEFALEA TENSIONAL"/>
    <x v="2"/>
    <s v="DEF"/>
    <s v="SERVICIOS GENERALES"/>
    <x v="3"/>
    <n v="3"/>
  </r>
  <r>
    <d v="2024-02-22T00:00:00"/>
    <x v="1"/>
    <s v="GIRON GIRON JORGE FRANCISCO "/>
    <x v="0"/>
    <n v="46"/>
    <x v="0"/>
    <x v="0"/>
    <s v="DISPEPSIA"/>
    <x v="6"/>
    <s v="DEF"/>
    <s v="OBRERO DE CAMPO"/>
    <x v="0"/>
    <n v="3"/>
  </r>
  <r>
    <d v="2024-02-22T00:00:00"/>
    <x v="1"/>
    <s v="JIMENEZ CASTILLO JORGE LUIS"/>
    <x v="0"/>
    <n v="34"/>
    <x v="0"/>
    <x v="0"/>
    <s v="LIMPIEZA HERIDA SUPERFICIAL"/>
    <x v="12"/>
    <s v="PRES"/>
    <s v="OBRERO DE CAMPO"/>
    <x v="0"/>
    <n v="3"/>
  </r>
  <r>
    <d v="2024-02-22T00:00:00"/>
    <x v="1"/>
    <s v="GIRALDO MORENO JAIME ANDRES"/>
    <x v="0"/>
    <n v="39"/>
    <x v="0"/>
    <x v="0"/>
    <s v="DOLOR MOLAR"/>
    <x v="8"/>
    <s v="DEF"/>
    <s v="SUPERVISOR DE PROYECTO"/>
    <x v="2"/>
    <n v="3"/>
  </r>
  <r>
    <d v="2024-02-23T00:00:00"/>
    <x v="1"/>
    <s v="CAUJA PILATAXI KARINA MARIVEL "/>
    <x v="1"/>
    <n v="30"/>
    <x v="0"/>
    <x v="0"/>
    <s v="DISMENORREA"/>
    <x v="5"/>
    <s v="DEF"/>
    <s v="ASISTENTE HSE"/>
    <x v="0"/>
    <n v="3"/>
  </r>
  <r>
    <d v="2024-02-23T00:00:00"/>
    <x v="1"/>
    <s v="LOPEZ  CALVOPIÑA KIMBERLIN DEANNA"/>
    <x v="1"/>
    <n v="29"/>
    <x v="0"/>
    <x v="0"/>
    <s v="CONGESTION NASAL"/>
    <x v="0"/>
    <s v="DEF"/>
    <s v="ASISTENTE HSE"/>
    <x v="0"/>
    <n v="3"/>
  </r>
  <r>
    <d v="2024-02-23T00:00:00"/>
    <x v="1"/>
    <s v="RODRIGUEZ RAMOS DANNY IVAN"/>
    <x v="0"/>
    <n v="29"/>
    <x v="0"/>
    <x v="0"/>
    <s v="DOLOR MOLAR"/>
    <x v="8"/>
    <s v="DEF"/>
    <s v="AYUDANTE DE PERFORACION"/>
    <x v="2"/>
    <n v="3"/>
  </r>
  <r>
    <d v="2024-02-24T00:00:00"/>
    <x v="1"/>
    <s v="SUIN QUILAMBAQUI HOLGER JUVENTINO"/>
    <x v="0"/>
    <n v="46"/>
    <x v="0"/>
    <x v="0"/>
    <s v="PAROQUINIA DE 4TO DEDO DE MANO DERECHA"/>
    <x v="7"/>
    <s v="DEF"/>
    <s v="PERFORISTA"/>
    <x v="2"/>
    <n v="3"/>
  </r>
  <r>
    <d v="2024-02-25T00:00:00"/>
    <x v="1"/>
    <s v="FLORES POLO GUILLERMO"/>
    <x v="0"/>
    <s v=""/>
    <x v="0"/>
    <x v="0"/>
    <s v="PICADURA DE INSECTO REGION DORSAL IZQUIERDA"/>
    <x v="13"/>
    <s v="PRES"/>
    <s v="PERFORISTA"/>
    <x v="2"/>
    <n v="3"/>
  </r>
  <r>
    <d v="2024-02-26T00:00:00"/>
    <x v="1"/>
    <s v="ANDRADE GARZON PETER THOMAS"/>
    <x v="0"/>
    <n v="29"/>
    <x v="0"/>
    <x v="0"/>
    <s v="CEFALEA TENSIONAL"/>
    <x v="2"/>
    <s v="DEF"/>
    <s v="AYUDANTE DE PERFORACION"/>
    <x v="2"/>
    <n v="3"/>
  </r>
  <r>
    <d v="2024-02-26T00:00:00"/>
    <x v="1"/>
    <s v="FLORES POLO GUILLERMO"/>
    <x v="0"/>
    <s v=""/>
    <x v="0"/>
    <x v="0"/>
    <s v="NEURITIS INTERCOSTAL"/>
    <x v="1"/>
    <s v="DEF"/>
    <s v="PERFORISTA"/>
    <x v="2"/>
    <n v="3"/>
  </r>
  <r>
    <d v="2024-02-27T00:00:00"/>
    <x v="1"/>
    <s v="FLORES POLO GUILLERMO"/>
    <x v="0"/>
    <s v=""/>
    <x v="0"/>
    <x v="1"/>
    <s v="HERPES ZOSTER"/>
    <x v="7"/>
    <s v="DEF"/>
    <s v="PERFORISTA"/>
    <x v="2"/>
    <n v="1"/>
  </r>
  <r>
    <d v="2024-02-27T00:00:00"/>
    <x v="1"/>
    <s v="CAUJA PILATAXI KARINA MARIVEL "/>
    <x v="1"/>
    <n v="30"/>
    <x v="0"/>
    <x v="0"/>
    <s v="DISMENORREA"/>
    <x v="5"/>
    <s v="DEF"/>
    <s v="ASISTENTE HSE"/>
    <x v="0"/>
    <n v="3"/>
  </r>
  <r>
    <d v="2024-02-27T00:00:00"/>
    <x v="1"/>
    <s v="LOPEZ  CALVOPIÑA KIMBERLIN DEANNA"/>
    <x v="1"/>
    <n v="29"/>
    <x v="0"/>
    <x v="0"/>
    <s v="CEFALEA TENSIONAL"/>
    <x v="2"/>
    <s v="DEF"/>
    <s v="ASISTENTE HSE"/>
    <x v="0"/>
    <n v="3"/>
  </r>
  <r>
    <d v="2024-02-27T00:00:00"/>
    <x v="1"/>
    <s v="SILVA CHACHA EDISON PATRICIO"/>
    <x v="0"/>
    <n v="31"/>
    <x v="0"/>
    <x v="0"/>
    <s v="DERMATITIS"/>
    <x v="7"/>
    <s v="PRES"/>
    <s v="AYUDANTE DE PERFORACION"/>
    <x v="0"/>
    <n v="3"/>
  </r>
  <r>
    <d v="2024-02-27T00:00:00"/>
    <x v="1"/>
    <s v="CUYO VEGA DARWIN EFRAIN"/>
    <x v="0"/>
    <n v="30"/>
    <x v="0"/>
    <x v="0"/>
    <s v="DOLOR MUSCULAR GENERALIZADO"/>
    <x v="1"/>
    <s v="DEF"/>
    <s v="ASISTENTE HSE"/>
    <x v="0"/>
    <n v="3"/>
  </r>
  <r>
    <d v="2024-02-28T00:00:00"/>
    <x v="1"/>
    <s v="JATIVA CAVIEDES KARINA LIZETH"/>
    <x v="1"/>
    <n v="29"/>
    <x v="0"/>
    <x v="0"/>
    <s v="DISMENORREA"/>
    <x v="5"/>
    <s v="DEF"/>
    <s v="ASISTENTE DE TALENTO HUMANO"/>
    <x v="3"/>
    <n v="3"/>
  </r>
  <r>
    <d v="2024-02-28T00:00:00"/>
    <x v="1"/>
    <s v="PIEDRA PIEDRA JAYRO BLADIMIR"/>
    <x v="0"/>
    <n v="33"/>
    <x v="0"/>
    <x v="0"/>
    <s v="CEFALEA TENSIONAL"/>
    <x v="2"/>
    <s v="DEF"/>
    <s v="SOLDADOR"/>
    <x v="1"/>
    <n v="3"/>
  </r>
  <r>
    <d v="2024-02-28T00:00:00"/>
    <x v="1"/>
    <s v="BRAVO SALDARRIAGA ERICK LEONARDO"/>
    <x v="0"/>
    <n v="23"/>
    <x v="0"/>
    <x v="0"/>
    <s v="DERMATITIS"/>
    <x v="7"/>
    <s v="PRES"/>
    <s v="AYUDANTE DE PERFORACION"/>
    <x v="0"/>
    <n v="3"/>
  </r>
  <r>
    <d v="2024-02-28T00:00:00"/>
    <x v="1"/>
    <s v="MEDINA GUAROCHICO ANGEL LISANDRO"/>
    <x v="0"/>
    <n v="39"/>
    <x v="0"/>
    <x v="0"/>
    <s v="RINOFARINGITIS"/>
    <x v="0"/>
    <s v="DEF"/>
    <s v="BOMBERO "/>
    <x v="2"/>
    <n v="3"/>
  </r>
  <r>
    <d v="2024-02-29T00:00:00"/>
    <x v="1"/>
    <s v="CAYO DRUET SANTIAGO JAVIER"/>
    <x v="0"/>
    <n v="29"/>
    <x v="0"/>
    <x v="0"/>
    <s v="RESFRIADO COMUN"/>
    <x v="0"/>
    <s v="DEF"/>
    <s v="ASISTENTE HSE"/>
    <x v="0"/>
    <n v="3"/>
  </r>
  <r>
    <d v="2024-02-29T00:00:00"/>
    <x v="1"/>
    <s v="LOPEZ  CALVOPIÑA KIMBERLIN DEANNA"/>
    <x v="1"/>
    <n v="29"/>
    <x v="0"/>
    <x v="0"/>
    <s v="RESFRIADO COMUN"/>
    <x v="0"/>
    <s v="DEF"/>
    <s v="ASISTENTE HSE"/>
    <x v="0"/>
    <n v="3"/>
  </r>
  <r>
    <d v="2024-02-29T00:00:00"/>
    <x v="1"/>
    <s v="PEREZ ALMEIDA ELBER ISRAEL"/>
    <x v="0"/>
    <n v="27"/>
    <x v="0"/>
    <x v="0"/>
    <s v="RINOFARINGITIS"/>
    <x v="0"/>
    <s v="DEF"/>
    <s v="AYUDANTE DE PERFORACION"/>
    <x v="2"/>
    <n v="3"/>
  </r>
  <r>
    <d v="2024-02-29T00:00:00"/>
    <x v="1"/>
    <s v="UNKUCH NANTIPIA WELINGTON FREDY"/>
    <x v="0"/>
    <n v="36"/>
    <x v="0"/>
    <x v="0"/>
    <s v="RINOFARINGITIS"/>
    <x v="0"/>
    <s v="DEF"/>
    <s v="AYUDANTE DE PERFORACION"/>
    <x v="2"/>
    <n v="3"/>
  </r>
  <r>
    <d v="2024-03-01T00:00:00"/>
    <x v="2"/>
    <s v="PONCE ROSERO HENRY GERMAN"/>
    <x v="0"/>
    <n v="33"/>
    <x v="0"/>
    <x v="0"/>
    <s v="CEFALEA TENSIONAL"/>
    <x v="2"/>
    <s v="DEF"/>
    <s v="RESPONSABLE HSE"/>
    <x v="0"/>
    <n v="3"/>
  </r>
  <r>
    <d v="2024-03-02T00:00:00"/>
    <x v="2"/>
    <s v="TORRES PARDO JOSE JAVIER"/>
    <x v="0"/>
    <n v="35"/>
    <x v="0"/>
    <x v="0"/>
    <s v="DISPEPSIA"/>
    <x v="6"/>
    <s v="DEF"/>
    <s v="OBRERO DE CAMPO"/>
    <x v="0"/>
    <n v="3"/>
  </r>
  <r>
    <d v="2024-03-02T00:00:00"/>
    <x v="2"/>
    <s v="ABAD SUAREZ MIGUEL ANGEL"/>
    <x v="0"/>
    <n v="41"/>
    <x v="0"/>
    <x v="0"/>
    <s v="RINOFARINGITIS"/>
    <x v="0"/>
    <s v="DEF"/>
    <s v="PERFORISTA"/>
    <x v="2"/>
    <n v="3"/>
  </r>
  <r>
    <d v="2024-03-03T00:00:00"/>
    <x v="2"/>
    <s v="CALVOPIÑA ACOSTA KAREN ARACELY"/>
    <x v="1"/>
    <n v="28"/>
    <x v="0"/>
    <x v="0"/>
    <s v="DOLOR MUSCULAR GENERALIZADO"/>
    <x v="1"/>
    <s v="DEF"/>
    <s v="ASISTENTE HSE"/>
    <x v="0"/>
    <n v="3"/>
  </r>
  <r>
    <d v="2024-03-03T00:00:00"/>
    <x v="2"/>
    <s v="JIMENEZ JIMENEZ MILTON YOVANNY"/>
    <x v="0"/>
    <n v="41"/>
    <x v="0"/>
    <x v="0"/>
    <s v="DOLOR HUSCULAR GENERALIZADO"/>
    <x v="1"/>
    <s v="DEF"/>
    <s v="OBRERO DE CAMPO"/>
    <x v="0"/>
    <n v="3"/>
  </r>
  <r>
    <d v="2024-03-03T00:00:00"/>
    <x v="2"/>
    <s v="ANDRADE PEÑAFIEL JEFFERSON JESUS"/>
    <x v="0"/>
    <n v="29"/>
    <x v="0"/>
    <x v="0"/>
    <s v="RESFRIADO COMUN"/>
    <x v="0"/>
    <s v="DEF"/>
    <s v="BOMBERO"/>
    <x v="0"/>
    <n v="3"/>
  </r>
  <r>
    <d v="2024-03-03T00:00:00"/>
    <x v="2"/>
    <s v="SAGBAY AGUIRRE JHEISON ROLANDO"/>
    <x v="0"/>
    <n v="28"/>
    <x v="0"/>
    <x v="0"/>
    <s v="RINOFARINGITIS"/>
    <x v="0"/>
    <s v="DEF"/>
    <s v="MECANICO DE PROYECTO"/>
    <x v="2"/>
    <n v="3"/>
  </r>
  <r>
    <d v="2024-03-04T00:00:00"/>
    <x v="2"/>
    <s v="PELAEZ JATIVA JORDAN ALEXANDER"/>
    <x v="0"/>
    <n v="24"/>
    <x v="0"/>
    <x v="0"/>
    <s v="RINOFARINGITIS"/>
    <x v="0"/>
    <s v="DEF"/>
    <s v="AYUDANTE DE PERFORACION"/>
    <x v="2"/>
    <n v="3"/>
  </r>
  <r>
    <d v="2024-03-05T00:00:00"/>
    <x v="2"/>
    <s v="SOLORZANO PUENTES NEFFER"/>
    <x v="1"/>
    <n v="32"/>
    <x v="0"/>
    <x v="0"/>
    <s v="MIGRAÑA CON AURA"/>
    <x v="2"/>
    <s v="DEF"/>
    <s v="ASISTENTE HSE"/>
    <x v="3"/>
    <n v="3"/>
  </r>
  <r>
    <d v="2024-03-05T00:00:00"/>
    <x v="2"/>
    <s v="AREVALO ALBARADO VALENTIN AVILENE"/>
    <x v="0"/>
    <n v="51"/>
    <x v="0"/>
    <x v="0"/>
    <s v="FARINGITIS"/>
    <x v="0"/>
    <s v="DEF"/>
    <s v="OPERADOR IH"/>
    <x v="0"/>
    <n v="3"/>
  </r>
  <r>
    <d v="2024-03-05T00:00:00"/>
    <x v="2"/>
    <s v="SALVADOR ESPIN MARIA CRISTINA"/>
    <x v="1"/>
    <n v="27"/>
    <x v="0"/>
    <x v="0"/>
    <s v="LUMBALGIA SIN CIATALGIA"/>
    <x v="1"/>
    <s v="DEF"/>
    <s v="ASISTENTE DE LOGISTICA"/>
    <x v="1"/>
    <n v="3"/>
  </r>
  <r>
    <d v="2024-03-05T00:00:00"/>
    <x v="2"/>
    <s v="ROSERO HERRERA JAIRO VINICIO"/>
    <x v="0"/>
    <n v="28"/>
    <x v="0"/>
    <x v="0"/>
    <s v="FARINGITIS"/>
    <x v="0"/>
    <s v="DEF"/>
    <s v="AYUDANTE DE PERFORACION"/>
    <x v="2"/>
    <n v="3"/>
  </r>
  <r>
    <d v="2024-03-06T00:00:00"/>
    <x v="2"/>
    <s v="SALVADOR ESPIN MARIA CRISTINA"/>
    <x v="1"/>
    <n v="27"/>
    <x v="0"/>
    <x v="0"/>
    <s v="MAREO"/>
    <x v="4"/>
    <s v="DEF"/>
    <s v="ASISTENTE DE LOGISTICA"/>
    <x v="1"/>
    <n v="3"/>
  </r>
  <r>
    <d v="2024-03-06T00:00:00"/>
    <x v="2"/>
    <s v="PONCE TAYO ROBINSON PAUL"/>
    <x v="0"/>
    <n v="32"/>
    <x v="0"/>
    <x v="0"/>
    <s v="CEFALEA TENSIONAL"/>
    <x v="2"/>
    <s v="DEF"/>
    <s v="ASISTENTE CONTABLE"/>
    <x v="3"/>
    <n v="3"/>
  </r>
  <r>
    <d v="2024-03-06T00:00:00"/>
    <x v="2"/>
    <s v="GUZMAN LOPEZ JOHANNA NATHALIA"/>
    <x v="1"/>
    <n v="29"/>
    <x v="0"/>
    <x v="0"/>
    <s v="CEFALEA TENSIONAL"/>
    <x v="2"/>
    <s v="DEF"/>
    <s v="ASISTENTE DE TALENTO HUMANO"/>
    <x v="3"/>
    <n v="3"/>
  </r>
  <r>
    <d v="2024-03-06T00:00:00"/>
    <x v="2"/>
    <s v="GUZMAN LOPEZ JOHANNA NATHALIA"/>
    <x v="1"/>
    <n v="29"/>
    <x v="0"/>
    <x v="0"/>
    <s v="NEURITIS INTERCOSTAL"/>
    <x v="1"/>
    <s v="DEF"/>
    <s v="ASISTENTE DE TALENTO HUMANO"/>
    <x v="3"/>
    <n v="3"/>
  </r>
  <r>
    <d v="2024-03-06T00:00:00"/>
    <x v="2"/>
    <s v="SALVADOR ESPIN MARIA CRISTINA"/>
    <x v="1"/>
    <n v="27"/>
    <x v="0"/>
    <x v="0"/>
    <s v="GASTROENTERITIS"/>
    <x v="6"/>
    <s v="DEF"/>
    <s v="ASISTENTE DE LOGISTICA"/>
    <x v="1"/>
    <n v="3"/>
  </r>
  <r>
    <d v="2024-03-06T00:00:00"/>
    <x v="2"/>
    <s v="AYALA ALMEIDA CRISTIAN BENITO"/>
    <x v="1"/>
    <n v="30"/>
    <x v="0"/>
    <x v="0"/>
    <s v="FARINGITIS"/>
    <x v="6"/>
    <s v="DEF"/>
    <s v="AYUDANTE DE PERFORACION"/>
    <x v="2"/>
    <n v="3"/>
  </r>
  <r>
    <d v="2024-03-06T00:00:00"/>
    <x v="2"/>
    <s v="SAGBAY AGUIRRE JHEISON ROLANDO"/>
    <x v="1"/>
    <n v="28"/>
    <x v="0"/>
    <x v="0"/>
    <s v="ABSCESO CUTANEO CODO IZQUIERDO"/>
    <x v="6"/>
    <s v="DEF"/>
    <s v="MECANICO DE PROYECTO"/>
    <x v="2"/>
    <n v="3"/>
  </r>
  <r>
    <d v="2024-03-07T00:00:00"/>
    <x v="2"/>
    <s v="PEREZ HARO CRISTIAN SANTIAGO"/>
    <x v="0"/>
    <n v="26"/>
    <x v="0"/>
    <x v="0"/>
    <s v="FARINGITIS"/>
    <x v="0"/>
    <s v="DEF"/>
    <s v="AYUDANTE DE PERFORACION"/>
    <x v="2"/>
    <n v="3"/>
  </r>
  <r>
    <d v="2024-03-07T00:00:00"/>
    <x v="2"/>
    <s v="GIRALDO MORENO JAIME ANDRES"/>
    <x v="0"/>
    <n v="39"/>
    <x v="0"/>
    <x v="0"/>
    <s v="RINOFARINGITIS"/>
    <x v="0"/>
    <s v="DEF"/>
    <s v="SUPERVISOR DE PROYECTO"/>
    <x v="2"/>
    <n v="3"/>
  </r>
  <r>
    <d v="2024-03-07T00:00:00"/>
    <x v="2"/>
    <s v="BAJAÑA CEVALLOS JONATHAN SAUL"/>
    <x v="0"/>
    <n v="29"/>
    <x v="0"/>
    <x v="0"/>
    <s v="RINOFARINGITIS"/>
    <x v="0"/>
    <s v="DEF"/>
    <s v="AYUDANTE DE PERFORACION"/>
    <x v="2"/>
    <n v="3"/>
  </r>
  <r>
    <d v="2024-03-08T00:00:00"/>
    <x v="2"/>
    <s v="SALAZAR GUAGALANGO DANIEL ELICEO"/>
    <x v="0"/>
    <n v="32"/>
    <x v="0"/>
    <x v="0"/>
    <s v="RINOFARINGITIS"/>
    <x v="0"/>
    <s v="DEF"/>
    <s v="LOGISTICO DE PROYECTO"/>
    <x v="2"/>
    <n v="3"/>
  </r>
  <r>
    <d v="2024-03-09T00:00:00"/>
    <x v="2"/>
    <s v="TORRES PARDO JOSE JAVIER"/>
    <x v="0"/>
    <n v="35"/>
    <x v="0"/>
    <x v="0"/>
    <s v="DISPEPSIA"/>
    <x v="6"/>
    <s v="DEF"/>
    <s v="OBRERO DE CAMPO"/>
    <x v="0"/>
    <n v="3"/>
  </r>
  <r>
    <d v="2024-03-09T00:00:00"/>
    <x v="2"/>
    <s v="ABAD SUAREZ JIMMY ARMANDO"/>
    <x v="0"/>
    <n v="43"/>
    <x v="0"/>
    <x v="0"/>
    <s v="MIALGIA"/>
    <x v="1"/>
    <s v="DEF"/>
    <s v="SUPERVISOR DE PROYECTO"/>
    <x v="0"/>
    <n v="3"/>
  </r>
  <r>
    <d v="2024-03-11T00:00:00"/>
    <x v="2"/>
    <s v="ROJAS GONZA JOSE EFRAIN"/>
    <x v="0"/>
    <n v="49"/>
    <x v="0"/>
    <x v="0"/>
    <s v="RINITIS ALERGICA"/>
    <x v="0"/>
    <s v="DEF"/>
    <s v="AYUDANTE DE PERFORACION"/>
    <x v="0"/>
    <n v="3"/>
  </r>
  <r>
    <d v="2024-03-11T00:00:00"/>
    <x v="2"/>
    <s v="PORRAS CORDOVA JEFFERSON VINICIO"/>
    <x v="0"/>
    <n v="47"/>
    <x v="0"/>
    <x v="0"/>
    <s v="DOLOR MUSCULAR DE RODILLA"/>
    <x v="1"/>
    <s v="DEF"/>
    <s v="AYUDANTE DE PERFORACION"/>
    <x v="0"/>
    <n v="3"/>
  </r>
  <r>
    <d v="2024-03-11T00:00:00"/>
    <x v="2"/>
    <s v="FLORES POLO GUILLERMO"/>
    <x v="0"/>
    <s v=""/>
    <x v="0"/>
    <x v="0"/>
    <s v="MIALGIA"/>
    <x v="1"/>
    <s v="DEF"/>
    <s v="PERFORISTA"/>
    <x v="2"/>
    <n v="3"/>
  </r>
  <r>
    <d v="2024-03-13T00:00:00"/>
    <x v="2"/>
    <s v="CHIMBO PIÑA EDWIN JAVIER "/>
    <x v="0"/>
    <n v="34"/>
    <x v="0"/>
    <x v="0"/>
    <s v="CUERPO EXTRAÑO EN OIDO"/>
    <x v="4"/>
    <s v="DEF"/>
    <s v="MECANICO DE PROYECTO"/>
    <x v="2"/>
    <n v="3"/>
  </r>
  <r>
    <d v="2024-03-13T00:00:00"/>
    <x v="2"/>
    <s v="AYALA ALMEIDA KLEIMER LINDEMAN "/>
    <x v="0"/>
    <n v="31"/>
    <x v="0"/>
    <x v="0"/>
    <s v="CEFALEA TENSIONAL"/>
    <x v="2"/>
    <s v="DEF"/>
    <s v="AYUDANTE DE PERFORACION"/>
    <x v="2"/>
    <n v="3"/>
  </r>
  <r>
    <d v="2024-03-13T00:00:00"/>
    <x v="2"/>
    <s v="PEÑAFIEL MAFLA WILSON JOSELO"/>
    <x v="0"/>
    <n v="31"/>
    <x v="0"/>
    <x v="0"/>
    <s v="RESFRIADO COMUN"/>
    <x v="0"/>
    <s v="DEF"/>
    <s v="AYUDANTE DE PERFORACION"/>
    <x v="2"/>
    <n v="3"/>
  </r>
  <r>
    <d v="2024-03-13T00:00:00"/>
    <x v="2"/>
    <s v="GAMBOA BAUTISTA JUAN CARLOS"/>
    <x v="0"/>
    <n v="39"/>
    <x v="0"/>
    <x v="0"/>
    <s v="PICADURA DE INSECTO NO VENENOSO, NO ESPECIFICO"/>
    <x v="13"/>
    <s v="DEF"/>
    <s v="SUPERVISOR DE PROYECTO"/>
    <x v="2"/>
    <n v="3"/>
  </r>
  <r>
    <d v="2024-03-14T00:00:00"/>
    <x v="2"/>
    <s v="JATIVA CAVIEDES KARINA LIZETH"/>
    <x v="1"/>
    <n v="29"/>
    <x v="0"/>
    <x v="0"/>
    <s v="DISPEPSIA"/>
    <x v="6"/>
    <s v="DEF"/>
    <s v="ASISTENTE DE TALENTO HUMANO"/>
    <x v="3"/>
    <n v="3"/>
  </r>
  <r>
    <d v="2024-03-14T00:00:00"/>
    <x v="2"/>
    <s v="PIEDRA PIEDRA JAYRO BLADIMIR"/>
    <x v="0"/>
    <n v="33"/>
    <x v="0"/>
    <x v="0"/>
    <s v="CEFALEA TENSIONAL"/>
    <x v="2"/>
    <s v="DEF"/>
    <s v="SOLDADOR"/>
    <x v="1"/>
    <n v="3"/>
  </r>
  <r>
    <d v="2024-03-14T00:00:00"/>
    <x v="2"/>
    <s v="AYALA ALMEIDA CRISTIAN BENITO"/>
    <x v="0"/>
    <n v="30"/>
    <x v="0"/>
    <x v="0"/>
    <s v="GASTROENTERITIS"/>
    <x v="6"/>
    <s v="DEF"/>
    <s v="AYUDANTE DE PERFORACION"/>
    <x v="2"/>
    <n v="3"/>
  </r>
  <r>
    <d v="2024-03-15T00:00:00"/>
    <x v="2"/>
    <s v="SOLORZANO PUENTES NEFFER"/>
    <x v="1"/>
    <n v="32"/>
    <x v="0"/>
    <x v="0"/>
    <s v="DISPEPSIA"/>
    <x v="6"/>
    <s v="DEF"/>
    <s v="ASISTENTE HSE"/>
    <x v="3"/>
    <n v="3"/>
  </r>
  <r>
    <d v="2024-03-15T00:00:00"/>
    <x v="2"/>
    <s v="ANDRADE PEÑAFIEL JONATHAN GABRIEL"/>
    <x v="0"/>
    <n v="31"/>
    <x v="0"/>
    <x v="0"/>
    <s v="MIALGIA"/>
    <x v="1"/>
    <s v="DEF"/>
    <s v="AYUDANTE DE PERFORACION"/>
    <x v="2"/>
    <n v="3"/>
  </r>
  <r>
    <d v="2024-03-16T00:00:00"/>
    <x v="2"/>
    <s v="SAAVEDRA PARRA ROBERTH MAURICIO"/>
    <x v="0"/>
    <n v="27"/>
    <x v="0"/>
    <x v="0"/>
    <s v="RESFRIADO COMUN"/>
    <x v="0"/>
    <s v="DEF"/>
    <s v="AYUDANTE DE PERFORACION"/>
    <x v="2"/>
    <n v="3"/>
  </r>
  <r>
    <d v="2024-03-17T00:00:00"/>
    <x v="2"/>
    <s v="QUILCA TIPANLUIZA WELINTONG JAVIER"/>
    <x v="0"/>
    <n v="31"/>
    <x v="0"/>
    <x v="0"/>
    <s v="DOLOR DE PIEZA DENTAL"/>
    <x v="8"/>
    <s v="DEF"/>
    <s v="AYUDANTE DE PERFORACION"/>
    <x v="2"/>
    <n v="3"/>
  </r>
  <r>
    <d v="2024-03-17T00:00:00"/>
    <x v="2"/>
    <s v="ANDRADE PEÑAFIEL JONATHAN GABRIEL"/>
    <x v="0"/>
    <n v="31"/>
    <x v="0"/>
    <x v="0"/>
    <s v="RASH ALERGICO"/>
    <x v="7"/>
    <s v="PRES"/>
    <s v="AYUDANTE DE PERFORACION"/>
    <x v="2"/>
    <n v="3"/>
  </r>
  <r>
    <d v="2024-03-18T00:00:00"/>
    <x v="2"/>
    <s v="SALVADOR ESPIN MARIA CRISTINA"/>
    <x v="1"/>
    <n v="27"/>
    <x v="0"/>
    <x v="0"/>
    <s v="LUMBALGIA SIN CIATALGIA"/>
    <x v="1"/>
    <s v="PRES"/>
    <s v="ASISTENTE DE LOGISTICA"/>
    <x v="1"/>
    <n v="3"/>
  </r>
  <r>
    <d v="2024-03-18T00:00:00"/>
    <x v="2"/>
    <s v="CONDE QUEZADA CRISTIAN ALBERTO"/>
    <x v="0"/>
    <n v="37"/>
    <x v="0"/>
    <x v="0"/>
    <s v="FARINGITIS"/>
    <x v="0"/>
    <s v="DEF"/>
    <s v="CONDUCTOR LOGISTICO"/>
    <x v="0"/>
    <n v="3"/>
  </r>
  <r>
    <d v="2024-03-18T00:00:00"/>
    <x v="2"/>
    <s v="ROSARIO BRAVO JULIO JOSÉ"/>
    <x v="0"/>
    <n v="25"/>
    <x v="0"/>
    <x v="0"/>
    <s v="CEFALEA TENSIONAL"/>
    <x v="2"/>
    <s v="DEF"/>
    <s v="AYUDANTE DE PERFORACION"/>
    <x v="0"/>
    <n v="3"/>
  </r>
  <r>
    <d v="2024-03-19T00:00:00"/>
    <x v="2"/>
    <s v="AYALA TORRES HECTOR MAURICIO"/>
    <x v="0"/>
    <n v="23"/>
    <x v="0"/>
    <x v="0"/>
    <s v="FIEBRE DEL DENGUE"/>
    <x v="14"/>
    <s v="DEF"/>
    <s v="AYUDANTE DE PERFORACION"/>
    <x v="0"/>
    <n v="1"/>
  </r>
  <r>
    <d v="2024-03-20T00:00:00"/>
    <x v="2"/>
    <s v="PEREZ HARO CRISTIAN SANTIAGO"/>
    <x v="0"/>
    <n v="26"/>
    <x v="0"/>
    <x v="0"/>
    <s v="CEFALEA TENSIONAL"/>
    <x v="2"/>
    <s v="DEF"/>
    <s v="AYUDANTE DE PERFORACION"/>
    <x v="2"/>
    <n v="3"/>
  </r>
  <r>
    <d v="2024-03-20T00:00:00"/>
    <x v="2"/>
    <s v="LITA CACUANGO LUIS ALEXANDER"/>
    <x v="0"/>
    <n v="28"/>
    <x v="0"/>
    <x v="0"/>
    <s v="DOLOR MUSCULAR GENERALIZADO"/>
    <x v="1"/>
    <s v="DEF"/>
    <s v="AYUDANTE DE PERFORACION"/>
    <x v="2"/>
    <n v="3"/>
  </r>
  <r>
    <d v="2024-03-21T00:00:00"/>
    <x v="2"/>
    <s v="RODRIGUEZ TORRES JACINTO FERNANDO"/>
    <x v="0"/>
    <n v="31"/>
    <x v="0"/>
    <x v="0"/>
    <s v="DISENTERIA + ESOFAGITIS"/>
    <x v="6"/>
    <s v="DEF"/>
    <s v="OBRERO DE CAMPO"/>
    <x v="0"/>
    <n v="3"/>
  </r>
  <r>
    <d v="2024-03-21T00:00:00"/>
    <x v="2"/>
    <s v="RODRIGUEZ TORRES JOSE PAUL "/>
    <x v="0"/>
    <n v="38"/>
    <x v="0"/>
    <x v="0"/>
    <s v="CEFALEA TENSIONAL"/>
    <x v="2"/>
    <s v="DEF"/>
    <s v="OBRERO DE CAMPO"/>
    <x v="0"/>
    <n v="3"/>
  </r>
  <r>
    <d v="2024-03-21T00:00:00"/>
    <x v="2"/>
    <s v="HERRERA ESPINOZA JORGE VINICIO"/>
    <x v="0"/>
    <n v="30"/>
    <x v="0"/>
    <x v="0"/>
    <s v="RESFRIADO COMUN"/>
    <x v="0"/>
    <s v="DEF"/>
    <s v="CONDUCTOR LOGISTICO"/>
    <x v="0"/>
    <n v="3"/>
  </r>
  <r>
    <d v="2024-03-22T00:00:00"/>
    <x v="2"/>
    <s v="CARRIÓN PARDO MARCELO MINOS"/>
    <x v="0"/>
    <n v="34"/>
    <x v="0"/>
    <x v="0"/>
    <s v="CEFALEA TENSIONAL"/>
    <x v="2"/>
    <s v="DEF"/>
    <s v="OBRERO DE CAMPO "/>
    <x v="0"/>
    <n v="3"/>
  </r>
  <r>
    <d v="2024-03-22T00:00:00"/>
    <x v="2"/>
    <s v="ESPINOZA ZURA BRIAN SANTIAGO"/>
    <x v="0"/>
    <n v="22"/>
    <x v="0"/>
    <x v="0"/>
    <s v="MIGRAÑA SIN AURA"/>
    <x v="2"/>
    <s v="DEF"/>
    <s v="OPERADOR IH"/>
    <x v="0"/>
    <n v="3"/>
  </r>
  <r>
    <d v="2024-03-22T00:00:00"/>
    <x v="2"/>
    <s v="ROSARIO BRAVO JULIO JOSÉ"/>
    <x v="0"/>
    <n v="25"/>
    <x v="0"/>
    <x v="0"/>
    <s v="MIGRAÑA SIN AURA"/>
    <x v="2"/>
    <s v="DEF"/>
    <s v="AYUDANTE DE PERFORACION"/>
    <x v="0"/>
    <n v="3"/>
  </r>
  <r>
    <d v="2024-03-23T00:00:00"/>
    <x v="2"/>
    <s v="LOPEZ  CALVOPIÑA KIMBERLIN DEANNA"/>
    <x v="1"/>
    <n v="29"/>
    <x v="0"/>
    <x v="0"/>
    <s v="ALERGIA ESTACIONAL"/>
    <x v="0"/>
    <s v="DEF"/>
    <s v="ASISTENTE HSE"/>
    <x v="0"/>
    <n v="3"/>
  </r>
  <r>
    <d v="2024-03-23T00:00:00"/>
    <x v="2"/>
    <s v="GANCHOZO MUÑOZ RAFAEL ANTONIO "/>
    <x v="0"/>
    <n v="26"/>
    <x v="0"/>
    <x v="0"/>
    <s v="DISENTERIA   "/>
    <x v="6"/>
    <s v="DEF"/>
    <s v="LOGISTICO DE PROYECTO"/>
    <x v="0"/>
    <n v="3"/>
  </r>
  <r>
    <d v="2024-03-23T00:00:00"/>
    <x v="2"/>
    <s v="CALVOPIÑA ACOSTA KAREN ARACELY"/>
    <x v="1"/>
    <n v="28"/>
    <x v="0"/>
    <x v="0"/>
    <s v="RINOFARINGITIS"/>
    <x v="0"/>
    <s v="DEF"/>
    <s v="ASISTENTE HSE"/>
    <x v="2"/>
    <n v="3"/>
  </r>
  <r>
    <d v="2024-03-24T00:00:00"/>
    <x v="2"/>
    <s v="TORRES PARDO PATRICIO MARCELO"/>
    <x v="0"/>
    <n v="54"/>
    <x v="0"/>
    <x v="0"/>
    <s v="DISPEPSIA"/>
    <x v="6"/>
    <s v="DEF"/>
    <s v="OBRERO DE CAMPO"/>
    <x v="0"/>
    <n v="3"/>
  </r>
  <r>
    <d v="2024-03-25T00:00:00"/>
    <x v="2"/>
    <s v="SOLORZANO PUENTES NEFFER"/>
    <x v="1"/>
    <n v="32"/>
    <x v="0"/>
    <x v="0"/>
    <s v="MIGRAÑA CON AURA"/>
    <x v="2"/>
    <s v="DEF"/>
    <s v="ASISTENTE HSE"/>
    <x v="3"/>
    <n v="3"/>
  </r>
  <r>
    <d v="2024-03-25T00:00:00"/>
    <x v="2"/>
    <s v="DIAZ JIMENEZ ALEJANDRA ELIZABETH"/>
    <x v="1"/>
    <n v="31"/>
    <x v="0"/>
    <x v="0"/>
    <s v="CERVICALGIA"/>
    <x v="1"/>
    <s v="DEF"/>
    <s v="RESPONSABLE HSE"/>
    <x v="3"/>
    <n v="3"/>
  </r>
  <r>
    <d v="2024-03-25T00:00:00"/>
    <x v="2"/>
    <s v="NOVOA CASTRO FREDDY ALEJANDRO"/>
    <x v="0"/>
    <n v="36"/>
    <x v="0"/>
    <x v="0"/>
    <s v="MIALGIA"/>
    <x v="1"/>
    <s v="DEF"/>
    <s v="ASISTENTE DE BODEGA"/>
    <x v="1"/>
    <n v="3"/>
  </r>
  <r>
    <d v="2024-03-25T00:00:00"/>
    <x v="2"/>
    <s v="PIEDRA PIEDRA JAYRO BLADIMIR"/>
    <x v="0"/>
    <n v="33"/>
    <x v="0"/>
    <x v="0"/>
    <s v="DISPEPSIA"/>
    <x v="6"/>
    <s v="DEF"/>
    <s v="SOLDADOR"/>
    <x v="1"/>
    <n v="3"/>
  </r>
  <r>
    <d v="2024-03-25T00:00:00"/>
    <x v="2"/>
    <s v="ZHUNIO LOJA ELVIS ADRIAN"/>
    <x v="0"/>
    <n v="23"/>
    <x v="0"/>
    <x v="0"/>
    <s v="SINDROME GRIPAL"/>
    <x v="0"/>
    <s v="PRES"/>
    <s v="AYUDANTE DE PERFORACION"/>
    <x v="0"/>
    <n v="3"/>
  </r>
  <r>
    <d v="2024-03-25T00:00:00"/>
    <x v="2"/>
    <s v="LOPEZ  CALVOPIÑA KIMBERLIN DEANNA"/>
    <x v="1"/>
    <n v="29"/>
    <x v="0"/>
    <x v="0"/>
    <s v="MIALGIA"/>
    <x v="1"/>
    <s v="DEF"/>
    <s v="ASISTENTE HSE"/>
    <x v="0"/>
    <n v="3"/>
  </r>
  <r>
    <d v="2024-03-25T00:00:00"/>
    <x v="2"/>
    <s v="CUNZA NAULA JULIO CESAR"/>
    <x v="0"/>
    <n v="47"/>
    <x v="0"/>
    <x v="0"/>
    <s v="CEFALEA TENSIONAL"/>
    <x v="2"/>
    <s v="DEF"/>
    <s v="PERFORISTA"/>
    <x v="2"/>
    <n v="3"/>
  </r>
  <r>
    <d v="2024-03-26T00:00:00"/>
    <x v="2"/>
    <s v="GUAMBIANGO YAPO KLEVER FERNANDO"/>
    <x v="0"/>
    <n v="34"/>
    <x v="0"/>
    <x v="0"/>
    <s v="DOLOR MUSCULAR"/>
    <x v="1"/>
    <s v="DEF"/>
    <s v="ASISTENTE DE TALENTO HUMANO"/>
    <x v="0"/>
    <n v="3"/>
  </r>
  <r>
    <d v="2024-03-26T00:00:00"/>
    <x v="2"/>
    <s v="CUYO VEGA DARWIN EFRAIN"/>
    <x v="0"/>
    <n v="30"/>
    <x v="0"/>
    <x v="0"/>
    <s v="CEFALEA TENSIONAL"/>
    <x v="2"/>
    <s v="DEF"/>
    <s v="ASISTENTE HSE"/>
    <x v="0"/>
    <n v="3"/>
  </r>
  <r>
    <d v="2024-03-26T00:00:00"/>
    <x v="2"/>
    <s v="ZHUNIO LOJA ELVIS ADRIAN"/>
    <x v="0"/>
    <n v="23"/>
    <x v="0"/>
    <x v="0"/>
    <s v="FEBRICULA"/>
    <x v="4"/>
    <s v="DEF"/>
    <s v="AYUDANTE DE PERFORACION"/>
    <x v="0"/>
    <n v="3"/>
  </r>
  <r>
    <d v="2024-03-26T00:00:00"/>
    <x v="2"/>
    <s v="OÑA AYALA BRYAN ALEXANDER"/>
    <x v="0"/>
    <n v="24"/>
    <x v="0"/>
    <x v="0"/>
    <s v="FARINGITIS"/>
    <x v="0"/>
    <s v="DEF"/>
    <s v="AYUDANTE DE PERFORACION"/>
    <x v="2"/>
    <n v="3"/>
  </r>
  <r>
    <d v="2024-03-26T00:00:00"/>
    <x v="2"/>
    <s v="CARRION AGILA ELVIS JORDY "/>
    <x v="0"/>
    <n v="29"/>
    <x v="0"/>
    <x v="0"/>
    <s v="DISTENCION MUSCULAR LUMBAR"/>
    <x v="1"/>
    <s v="DEF"/>
    <s v="LOGISTICO DE PROYECTO"/>
    <x v="2"/>
    <n v="3"/>
  </r>
  <r>
    <d v="2024-03-27T00:00:00"/>
    <x v="2"/>
    <s v="ANDRADE GARZON MARVIN HUMBERTO"/>
    <x v="0"/>
    <n v="42"/>
    <x v="0"/>
    <x v="0"/>
    <s v="TRANSGRESION ALIMENTARIA"/>
    <x v="6"/>
    <s v="DEF"/>
    <s v="PERFORISTA"/>
    <x v="2"/>
    <n v="3"/>
  </r>
  <r>
    <d v="2024-03-27T00:00:00"/>
    <x v="2"/>
    <s v="AGUILAR SALINAS JOSE MIGUEL"/>
    <x v="0"/>
    <n v="36"/>
    <x v="0"/>
    <x v="0"/>
    <s v="RASH ALERGICO"/>
    <x v="7"/>
    <s v="DEF"/>
    <s v="LOGISTICO DE PROYECTO"/>
    <x v="2"/>
    <n v="3"/>
  </r>
  <r>
    <d v="2024-03-28T00:00:00"/>
    <x v="2"/>
    <s v="MORENO AMORES SOFIA ALEJANDRA"/>
    <x v="1"/>
    <n v="31"/>
    <x v="0"/>
    <x v="0"/>
    <s v="RESFRIADO COMUN"/>
    <x v="0"/>
    <s v="DEF"/>
    <s v="RESPONSABLE HSE"/>
    <x v="0"/>
    <n v="3"/>
  </r>
  <r>
    <d v="2024-03-28T00:00:00"/>
    <x v="2"/>
    <s v="CEREZO BONILLA YASMANI EFRAIN"/>
    <x v="0"/>
    <n v="38"/>
    <x v="0"/>
    <x v="0"/>
    <s v="DISPEPSIA"/>
    <x v="6"/>
    <s v="DEF"/>
    <s v="AYUDANTE DE PERFORACION"/>
    <x v="2"/>
    <n v="3"/>
  </r>
  <r>
    <d v="2024-03-28T00:00:00"/>
    <x v="2"/>
    <s v="RODRIGUEZ MEDIAVILA HECTOR STALIN"/>
    <x v="0"/>
    <n v="23"/>
    <x v="0"/>
    <x v="0"/>
    <s v="RASH ALERGICO"/>
    <x v="7"/>
    <s v="DEF"/>
    <s v="AYUDANTE DE PERFORACION"/>
    <x v="2"/>
    <n v="3"/>
  </r>
  <r>
    <d v="2024-03-29T00:00:00"/>
    <x v="2"/>
    <s v="LOPEZ  CALVOPIÑA KIMBERLIN DEANNA"/>
    <x v="1"/>
    <n v="29"/>
    <x v="0"/>
    <x v="0"/>
    <s v="DISPEPSIA"/>
    <x v="6"/>
    <s v="DEF"/>
    <s v="ASISTENTE HSE"/>
    <x v="0"/>
    <n v="3"/>
  </r>
  <r>
    <d v="2024-03-29T00:00:00"/>
    <x v="2"/>
    <s v="AGUILAR SALINAS JOSE MIGUEL"/>
    <x v="0"/>
    <n v="36"/>
    <x v="0"/>
    <x v="0"/>
    <s v="RASH ALERGICO"/>
    <x v="7"/>
    <s v="DEF"/>
    <s v="LOGISTICO DE PROYECTO"/>
    <x v="2"/>
    <n v="3"/>
  </r>
  <r>
    <d v="2024-03-29T00:00:00"/>
    <x v="2"/>
    <s v="CALVOPIÑA ACOSTA KAREN ARACELY"/>
    <x v="1"/>
    <n v="28"/>
    <x v="0"/>
    <x v="0"/>
    <s v="MIALGIA"/>
    <x v="2"/>
    <s v="DEF"/>
    <s v="ASISTENTE HSE"/>
    <x v="2"/>
    <n v="3"/>
  </r>
  <r>
    <d v="2024-03-29T00:00:00"/>
    <x v="2"/>
    <s v="PEREZ ALMEIDA ELBER ISRAEL"/>
    <x v="0"/>
    <n v="27"/>
    <x v="0"/>
    <x v="0"/>
    <s v="LUMBALGIA SIN CIATALGIA"/>
    <x v="1"/>
    <s v="DEF"/>
    <s v="AYUDANTE DE PERFORACION"/>
    <x v="2"/>
    <n v="3"/>
  </r>
  <r>
    <d v="2024-03-31T00:00:00"/>
    <x v="2"/>
    <s v="PORRAS CORDOVA JEFFERSON VINICIO"/>
    <x v="0"/>
    <n v="47"/>
    <x v="0"/>
    <x v="0"/>
    <s v="DOLOR MUSCULAR EN RODILLA  DERECHA"/>
    <x v="1"/>
    <s v="DEF"/>
    <s v="AYUDANTE DE PERFORACION"/>
    <x v="0"/>
    <n v="3"/>
  </r>
  <r>
    <d v="2024-03-31T00:00:00"/>
    <x v="2"/>
    <s v="CORREA ESPINOZA OSCAR ANTONIO"/>
    <x v="0"/>
    <n v="39"/>
    <x v="0"/>
    <x v="0"/>
    <s v="DIARREA AGUDA"/>
    <x v="6"/>
    <s v="DEF"/>
    <s v="AYUDANTE DE PERFORACION"/>
    <x v="2"/>
    <n v="3"/>
  </r>
  <r>
    <d v="2024-03-31T00:00:00"/>
    <x v="2"/>
    <s v="OÑA AYALA BRYAN ALEXANDER"/>
    <x v="0"/>
    <n v="24"/>
    <x v="1"/>
    <x v="0"/>
    <s v="HERIDA DE CUARTO DEDO DE LA MANO DERECHA CON DAÑO EN LA UÑA"/>
    <x v="11"/>
    <s v="DEF"/>
    <s v="AYUDANTE DE PERFORACION"/>
    <x v="2"/>
    <n v="3"/>
  </r>
  <r>
    <d v="2024-04-01T00:00:00"/>
    <x v="3"/>
    <s v="PORRAS CORDOVA JEFFERSON VINICIO"/>
    <x v="0"/>
    <n v="47"/>
    <x v="0"/>
    <x v="0"/>
    <s v="TRASTORNO INTERNO DE LA RODILLA, NO ESPECIFICADO"/>
    <x v="1"/>
    <s v="DEF"/>
    <s v="AYUDANTE DE PERFORACION"/>
    <x v="0"/>
    <n v="1"/>
  </r>
  <r>
    <d v="2024-04-02T00:00:00"/>
    <x v="3"/>
    <s v="ANDRADE PEÑAFIEL JEFFERSON JESUS"/>
    <x v="0"/>
    <n v="29"/>
    <x v="0"/>
    <x v="0"/>
    <s v="RESFRIADO COMUN"/>
    <x v="0"/>
    <s v="DEF"/>
    <s v="BOMBERO"/>
    <x v="0"/>
    <n v="3"/>
  </r>
  <r>
    <d v="2024-04-03T00:00:00"/>
    <x v="3"/>
    <s v="PORRAS CORDOVA JEFFERSON VINICIO"/>
    <x v="0"/>
    <n v="47"/>
    <x v="0"/>
    <x v="0"/>
    <s v="TRASTORNO SINOVIAL Y TENDINOSO (M67.9). BURSITIS DE LA RODILLA (M70.5"/>
    <x v="1"/>
    <s v="DEF"/>
    <s v="AYUDANTE DE PERFORACION"/>
    <x v="0"/>
    <n v="2"/>
  </r>
  <r>
    <d v="2024-04-03T00:00:00"/>
    <x v="3"/>
    <s v="ANDRADE GARZON MARVIN HUMBERTO"/>
    <x v="0"/>
    <n v="42"/>
    <x v="0"/>
    <x v="0"/>
    <s v="FARINGITIS"/>
    <x v="0"/>
    <s v="DEF"/>
    <s v="PERFORISTA"/>
    <x v="2"/>
    <n v="3"/>
  </r>
  <r>
    <d v="2024-04-03T00:00:00"/>
    <x v="3"/>
    <s v="BALCAZAR TORRES JUAN ANTONIO"/>
    <x v="0"/>
    <n v="25"/>
    <x v="0"/>
    <x v="0"/>
    <s v="ALERGIA NO ESPECIFICA"/>
    <x v="7"/>
    <s v="DEF"/>
    <s v="OBRERO DE CAMPO"/>
    <x v="0"/>
    <n v="3"/>
  </r>
  <r>
    <d v="2024-04-04T00:00:00"/>
    <x v="3"/>
    <s v="ALULEMA TOAPANTA JUAN CARLOS"/>
    <x v="0"/>
    <n v="32"/>
    <x v="0"/>
    <x v="0"/>
    <s v="DISENTERIA"/>
    <x v="6"/>
    <s v="DEF"/>
    <s v="MECANICO DE PROYECTO"/>
    <x v="0"/>
    <n v="3"/>
  </r>
  <r>
    <d v="2024-04-05T00:00:00"/>
    <x v="3"/>
    <s v="AYALA YEPEZ EDGAR PATRICIO"/>
    <x v="0"/>
    <n v="25"/>
    <x v="0"/>
    <x v="0"/>
    <s v="CEFALEA TENSIONAL"/>
    <x v="2"/>
    <s v="DEF"/>
    <s v="AYUDANTE DE PERFORACION"/>
    <x v="2"/>
    <n v="3"/>
  </r>
  <r>
    <d v="2024-04-06T00:00:00"/>
    <x v="3"/>
    <s v="ABAD SUAREZ JIMMY ARMANDO"/>
    <x v="0"/>
    <n v="43"/>
    <x v="0"/>
    <x v="0"/>
    <s v="DOLOR MUSCULAR GENERALIZADO"/>
    <x v="1"/>
    <s v="DEF"/>
    <s v="SUPERVISOR DE PROYECTO"/>
    <x v="0"/>
    <n v="3"/>
  </r>
  <r>
    <d v="2024-04-06T00:00:00"/>
    <x v="3"/>
    <s v="BALCAZAR TORRES JUAN ANTONIO"/>
    <x v="0"/>
    <n v="25"/>
    <x v="0"/>
    <x v="0"/>
    <s v="DOLOR MUSCULAR GENERALIZADO"/>
    <x v="1"/>
    <s v="DEF"/>
    <s v="OBRERO DE CAMPO"/>
    <x v="0"/>
    <n v="3"/>
  </r>
  <r>
    <d v="2024-04-06T00:00:00"/>
    <x v="3"/>
    <s v="CUYO VEGA DARWIN EFRAIN"/>
    <x v="0"/>
    <n v="30"/>
    <x v="0"/>
    <x v="0"/>
    <s v="IRRITACION DEL GLOBO OCULAR"/>
    <x v="9"/>
    <s v="DEF"/>
    <s v="ASISTENTE HSE"/>
    <x v="0"/>
    <n v="3"/>
  </r>
  <r>
    <d v="2024-04-06T00:00:00"/>
    <x v="3"/>
    <s v="OVIEDO MONCADA JOSE JAYRO"/>
    <x v="0"/>
    <n v="35"/>
    <x v="0"/>
    <x v="0"/>
    <s v="COLOR MUSCULAR GENERALIZADO"/>
    <x v="1"/>
    <s v="DEF"/>
    <s v="OBRERO DE CAMPO"/>
    <x v="0"/>
    <n v="3"/>
  </r>
  <r>
    <d v="2024-04-07T00:00:00"/>
    <x v="3"/>
    <s v="CAYO DRUET SANTIAGO JAVIER"/>
    <x v="0"/>
    <n v="29"/>
    <x v="0"/>
    <x v="0"/>
    <s v="MIALGIA"/>
    <x v="1"/>
    <s v="DEF"/>
    <s v="ASISTENTE HSE"/>
    <x v="0"/>
    <n v="3"/>
  </r>
  <r>
    <d v="2024-04-07T00:00:00"/>
    <x v="3"/>
    <s v="ROJAS GONZA JOSE EFRAIN"/>
    <x v="0"/>
    <n v="49"/>
    <x v="0"/>
    <x v="0"/>
    <s v="CEFALEA TENSIONAL"/>
    <x v="2"/>
    <s v="DEF"/>
    <s v="AYUDANTE DE PERFORACION"/>
    <x v="0"/>
    <n v="3"/>
  </r>
  <r>
    <d v="2024-04-07T00:00:00"/>
    <x v="3"/>
    <s v="GUAMBIANGO YAPO KLEVER FERNANDO"/>
    <x v="0"/>
    <n v="34"/>
    <x v="0"/>
    <x v="0"/>
    <s v="DISPEPSIA"/>
    <x v="6"/>
    <s v="DEF"/>
    <s v="ASISTENTE DE TALENTO HUMANO"/>
    <x v="0"/>
    <n v="3"/>
  </r>
  <r>
    <d v="2024-04-07T00:00:00"/>
    <x v="3"/>
    <s v="RAMOS CAMPOVERDE ORLANDO VINICIO"/>
    <x v="0"/>
    <n v="34"/>
    <x v="0"/>
    <x v="0"/>
    <s v="FARINGITIS"/>
    <x v="0"/>
    <s v="DEF"/>
    <s v="OPERADOR IH"/>
    <x v="0"/>
    <n v="3"/>
  </r>
  <r>
    <d v="2024-04-08T00:00:00"/>
    <x v="3"/>
    <s v="CARRION CUEVA CARLOS FRANCISCO"/>
    <x v="0"/>
    <n v="22"/>
    <x v="0"/>
    <x v="0"/>
    <s v="RESFRIADO COMUN"/>
    <x v="0"/>
    <s v="DEF"/>
    <s v="OBRERO DE CAMPO "/>
    <x v="0"/>
    <n v="3"/>
  </r>
  <r>
    <d v="2024-04-08T00:00:00"/>
    <x v="3"/>
    <s v="OLMEDO SOTO EDISON PATRICIO"/>
    <x v="0"/>
    <n v="28"/>
    <x v="0"/>
    <x v="0"/>
    <s v="RESFRIADO COMUN"/>
    <x v="0"/>
    <s v="DEF"/>
    <s v="OBRERO DE CAMPO"/>
    <x v="0"/>
    <n v="3"/>
  </r>
  <r>
    <d v="2024-04-08T00:00:00"/>
    <x v="3"/>
    <s v="MORENO AMORES SOFIA ALEJANDRA"/>
    <x v="1"/>
    <n v="31"/>
    <x v="0"/>
    <x v="0"/>
    <s v="DISMENORREA"/>
    <x v="5"/>
    <s v="DEF"/>
    <s v="RESPONSABLE HSE"/>
    <x v="0"/>
    <n v="3"/>
  </r>
  <r>
    <d v="2024-04-08T00:00:00"/>
    <x v="3"/>
    <s v="CONDE QUEZADA CRISTIAN ALBERTO"/>
    <x v="0"/>
    <n v="37"/>
    <x v="0"/>
    <x v="0"/>
    <s v="RASH ALERGICO"/>
    <x v="7"/>
    <s v="DEF"/>
    <s v="CONDUCTOR LOGISTICO"/>
    <x v="0"/>
    <n v="3"/>
  </r>
  <r>
    <d v="2024-04-08T00:00:00"/>
    <x v="3"/>
    <s v="CIFUENTES JIMENEZ FERNANDO"/>
    <x v="0"/>
    <n v="45"/>
    <x v="0"/>
    <x v="0"/>
    <s v="CUERPO EXTRAÑO EN OIDO"/>
    <x v="0"/>
    <s v="DEF"/>
    <s v="PERFORISTA"/>
    <x v="2"/>
    <n v="3"/>
  </r>
  <r>
    <d v="2024-04-08T00:00:00"/>
    <x v="3"/>
    <s v="AYALA ALMEIDA CRISTIAN BENITO"/>
    <x v="0"/>
    <n v="30"/>
    <x v="0"/>
    <x v="0"/>
    <s v="GASTRITIS"/>
    <x v="6"/>
    <s v="DEF"/>
    <s v="AYUDANTE DE PERFORACION"/>
    <x v="2"/>
    <n v="3"/>
  </r>
  <r>
    <d v="2024-04-08T00:00:00"/>
    <x v="3"/>
    <s v="LITA CACUANGO LUIS ALEXANDER"/>
    <x v="0"/>
    <n v="28"/>
    <x v="0"/>
    <x v="0"/>
    <s v="RINOFARINGITIS"/>
    <x v="0"/>
    <s v="DEF"/>
    <s v="AYUDANTE DE PERFORACION"/>
    <x v="2"/>
    <n v="3"/>
  </r>
  <r>
    <d v="2024-04-10T00:00:00"/>
    <x v="3"/>
    <s v="ZHUNIO LOJA ELVIS ADRIAN"/>
    <x v="0"/>
    <n v="23"/>
    <x v="0"/>
    <x v="0"/>
    <s v="ESPASMO ESTOMACAL"/>
    <x v="6"/>
    <s v="DEF"/>
    <s v="AYUDANTE DE PERFORACION"/>
    <x v="0"/>
    <n v="3"/>
  </r>
  <r>
    <d v="2024-04-12T00:00:00"/>
    <x v="3"/>
    <s v="BENAVIDES GARZON WILDER ALFREDO"/>
    <x v="0"/>
    <n v="27"/>
    <x v="0"/>
    <x v="0"/>
    <s v="MIALGIA"/>
    <x v="1"/>
    <s v="DEF"/>
    <s v="AYUDANTE DE PERFORACION"/>
    <x v="2"/>
    <n v="3"/>
  </r>
  <r>
    <d v="2024-04-13T00:00:00"/>
    <x v="3"/>
    <s v="ABAD SUAREZ JIMMY ARMANDO"/>
    <x v="0"/>
    <n v="43"/>
    <x v="0"/>
    <x v="0"/>
    <s v="DISENTERIA"/>
    <x v="6"/>
    <s v="DEF"/>
    <s v="SUPERVISOR DE PROYECTO"/>
    <x v="0"/>
    <n v="3"/>
  </r>
  <r>
    <d v="2024-04-15T00:00:00"/>
    <x v="3"/>
    <s v="BARRAGAN VASCONEZ CRISTIAN OMAR"/>
    <x v="0"/>
    <n v="31"/>
    <x v="0"/>
    <x v="0"/>
    <s v="GASTROENTERITIS"/>
    <x v="6"/>
    <s v="DEF"/>
    <s v="AYUDANTE DE PERFORACION"/>
    <x v="2"/>
    <n v="3"/>
  </r>
  <r>
    <d v="2024-04-16T00:00:00"/>
    <x v="3"/>
    <s v="CONDE QUEZADA CRISTIAN ALBERTO"/>
    <x v="0"/>
    <n v="37"/>
    <x v="0"/>
    <x v="0"/>
    <s v="MIALGIA"/>
    <x v="1"/>
    <s v="DEF"/>
    <s v="CONDUCTOR LOGISTICO"/>
    <x v="0"/>
    <n v="3"/>
  </r>
  <r>
    <d v="2024-04-16T00:00:00"/>
    <x v="3"/>
    <s v="NIETO QUEZADA JUAN CARLOS"/>
    <x v="0"/>
    <n v="32"/>
    <x v="0"/>
    <x v="0"/>
    <s v="DERMATITIS"/>
    <x v="7"/>
    <s v="DEF"/>
    <s v="AYUDANTE DE PERFORACION"/>
    <x v="0"/>
    <n v="3"/>
  </r>
  <r>
    <d v="2024-04-16T00:00:00"/>
    <x v="3"/>
    <s v="JARLEQUE ESPIN FREDDY RICARDO"/>
    <x v="0"/>
    <n v="35"/>
    <x v="0"/>
    <x v="0"/>
    <s v="CEFALEA TENSIONAL"/>
    <x v="2"/>
    <s v="DEF"/>
    <s v="CAPATAZ DE CAMPO"/>
    <x v="0"/>
    <n v="3"/>
  </r>
  <r>
    <d v="2024-04-17T00:00:00"/>
    <x v="3"/>
    <s v="GAONA MERINO ROMEL FRANCISCO "/>
    <x v="0"/>
    <n v="36"/>
    <x v="0"/>
    <x v="0"/>
    <s v="FARINGITIS"/>
    <x v="0"/>
    <s v="DEF"/>
    <s v="OBRERO DE CAMPO"/>
    <x v="0"/>
    <n v="3"/>
  </r>
  <r>
    <d v="2024-04-19T00:00:00"/>
    <x v="3"/>
    <s v="JIMENEZ CASTILLO JORGE LUIS"/>
    <x v="0"/>
    <n v="34"/>
    <x v="0"/>
    <x v="0"/>
    <s v="MIALGIA"/>
    <x v="1"/>
    <s v="DEF"/>
    <s v="OBRERO DE CAMPO"/>
    <x v="0"/>
    <n v="3"/>
  </r>
  <r>
    <d v="2024-04-19T00:00:00"/>
    <x v="3"/>
    <s v="TORRES PARDO PATRICIO MARCELO"/>
    <x v="0"/>
    <n v="54"/>
    <x v="0"/>
    <x v="0"/>
    <s v="DISPEPSIA"/>
    <x v="6"/>
    <s v="DEF"/>
    <s v="OBRERO DE CAMPO"/>
    <x v="0"/>
    <n v="3"/>
  </r>
  <r>
    <d v="2024-04-16T00:00:00"/>
    <x v="3"/>
    <s v="RODRIGUEZ RAMOS DANNY IVAN"/>
    <x v="0"/>
    <n v="29"/>
    <x v="0"/>
    <x v="0"/>
    <s v="RESFRIADO COMUN"/>
    <x v="0"/>
    <s v="DEF"/>
    <s v="AYUDANTE DE PERFORACION"/>
    <x v="2"/>
    <n v="3"/>
  </r>
  <r>
    <d v="2024-04-17T00:00:00"/>
    <x v="3"/>
    <s v="ROSERO HERRERA JAIRO VINICIO"/>
    <x v="0"/>
    <n v="28"/>
    <x v="0"/>
    <x v="0"/>
    <s v="GASTROENTERITIS"/>
    <x v="6"/>
    <s v="DEF"/>
    <s v="AYUDANTE DE PERFORACION"/>
    <x v="2"/>
    <n v="3"/>
  </r>
  <r>
    <d v="2024-04-18T00:00:00"/>
    <x v="3"/>
    <s v="AYALA ALMEIDA CRISTIAN BENITO"/>
    <x v="0"/>
    <n v="30"/>
    <x v="0"/>
    <x v="0"/>
    <s v="GASTROENTERITIS"/>
    <x v="6"/>
    <s v="DEF"/>
    <s v="AYUDANTE DE PERFORACION"/>
    <x v="2"/>
    <n v="3"/>
  </r>
  <r>
    <d v="2024-04-19T00:00:00"/>
    <x v="3"/>
    <s v="HARO TORRES JENRI JAVIER"/>
    <x v="0"/>
    <n v="37"/>
    <x v="0"/>
    <x v="0"/>
    <s v="ACIDEZ ESTOMACAL "/>
    <x v="6"/>
    <s v="DEF"/>
    <s v="PERFORISTA"/>
    <x v="2"/>
    <n v="3"/>
  </r>
  <r>
    <d v="2024-04-20T00:00:00"/>
    <x v="3"/>
    <s v="SANTAMARIA PRADO  JEYSON DAVID"/>
    <x v="0"/>
    <n v="30"/>
    <x v="0"/>
    <x v="0"/>
    <s v="DOLOR MOLAR"/>
    <x v="8"/>
    <s v="DEF"/>
    <s v="ASISTENTE HSE"/>
    <x v="2"/>
    <n v="3"/>
  </r>
  <r>
    <d v="2024-04-21T00:00:00"/>
    <x v="3"/>
    <s v="CUNZA NAULA JULIO CESAR"/>
    <x v="0"/>
    <n v="47"/>
    <x v="0"/>
    <x v="0"/>
    <s v="RESFRIADO COMUN"/>
    <x v="0"/>
    <s v="DEF"/>
    <s v="PERFORISTA"/>
    <x v="2"/>
    <n v="3"/>
  </r>
  <r>
    <d v="2024-04-21T00:00:00"/>
    <x v="3"/>
    <s v="TANDAZO CASTILLO GUSTAVO XAVIER"/>
    <x v="0"/>
    <n v="29"/>
    <x v="0"/>
    <x v="0"/>
    <s v="RESFRIADO COMUN"/>
    <x v="0"/>
    <s v="DEF"/>
    <s v="AYUDANTE DE PERFORACION"/>
    <x v="2"/>
    <n v="3"/>
  </r>
  <r>
    <d v="2024-04-22T00:00:00"/>
    <x v="3"/>
    <s v="OÑA AYALA BRYAN ALEXANDER"/>
    <x v="0"/>
    <n v="24"/>
    <x v="0"/>
    <x v="0"/>
    <s v="RINOFARINGITIS"/>
    <x v="0"/>
    <s v="DEF"/>
    <s v="AYUDANTE DE PERFORACION"/>
    <x v="2"/>
    <n v="3"/>
  </r>
  <r>
    <d v="2024-04-22T00:00:00"/>
    <x v="3"/>
    <s v="CALVOPIÑA ACOSTA KAREN ARACELY"/>
    <x v="1"/>
    <n v="28"/>
    <x v="0"/>
    <x v="0"/>
    <s v="ENFERMEDAD DIARREICA AGUDA"/>
    <x v="6"/>
    <s v="DEF"/>
    <s v="ASISTENTE HSE"/>
    <x v="2"/>
    <n v="3"/>
  </r>
  <r>
    <d v="2024-04-22T00:00:00"/>
    <x v="3"/>
    <s v="LITA CACUANGO LUIS ALEXANDER"/>
    <x v="0"/>
    <n v="28"/>
    <x v="0"/>
    <x v="0"/>
    <s v="ENFERMEDAD DIARREICA AGUDA"/>
    <x v="6"/>
    <s v="DEF"/>
    <s v="AYUDANTE DE PERFORACION"/>
    <x v="2"/>
    <n v="3"/>
  </r>
  <r>
    <d v="2024-04-23T00:00:00"/>
    <x v="3"/>
    <s v="CARRION AGILA ELVIS JORDY "/>
    <x v="0"/>
    <n v="29"/>
    <x v="0"/>
    <x v="0"/>
    <s v="ENFERMEDAD DIARREICA AGUDA"/>
    <x v="6"/>
    <s v="DEF"/>
    <s v="LOGISTICO DE PROYECTO"/>
    <x v="2"/>
    <n v="3"/>
  </r>
  <r>
    <d v="2024-04-24T00:00:00"/>
    <x v="3"/>
    <s v="SANTAMARIA PRADO  JEYSON DAVID"/>
    <x v="0"/>
    <n v="30"/>
    <x v="0"/>
    <x v="0"/>
    <s v="RASH ALERGICO"/>
    <x v="7"/>
    <s v="DEF"/>
    <s v="ASISTENTE HSE"/>
    <x v="2"/>
    <n v="3"/>
  </r>
  <r>
    <d v="2024-04-24T00:00:00"/>
    <x v="3"/>
    <s v="LITA CACUANGO LUIS ALEXANDER"/>
    <x v="0"/>
    <n v="28"/>
    <x v="0"/>
    <x v="0"/>
    <s v="CEFALEA TENSIONAL"/>
    <x v="2"/>
    <s v="DEF"/>
    <s v="AYUDANTE DE PERFORACION"/>
    <x v="2"/>
    <n v="3"/>
  </r>
  <r>
    <d v="2024-04-24T00:00:00"/>
    <x v="3"/>
    <s v="PINTADO VIVANCO JONATHAN CRISTOBAL"/>
    <x v="0"/>
    <n v="28"/>
    <x v="0"/>
    <x v="0"/>
    <s v="RINOFARINGITIS"/>
    <x v="0"/>
    <s v="DEF"/>
    <s v="CONDUCTOR LOGISTICO"/>
    <x v="4"/>
    <n v="3"/>
  </r>
  <r>
    <d v="2024-04-25T00:00:00"/>
    <x v="3"/>
    <s v="BENAVIDES GARZON WILDER ALFREDO"/>
    <x v="0"/>
    <n v="27"/>
    <x v="0"/>
    <x v="0"/>
    <s v="RINOFARINGITIS"/>
    <x v="0"/>
    <s v="DEF"/>
    <s v="AYUDANTE DE PERFORACION"/>
    <x v="2"/>
    <n v="3"/>
  </r>
  <r>
    <d v="2024-04-26T00:00:00"/>
    <x v="3"/>
    <s v="RODRIGUEZ RAMOS DANNY IVAN"/>
    <x v="0"/>
    <n v="29"/>
    <x v="0"/>
    <x v="0"/>
    <s v="DOLOR EN EXTREMIDAD"/>
    <x v="1"/>
    <s v="PRES"/>
    <s v="AYUDANTE DE PERFORACION"/>
    <x v="2"/>
    <n v="3"/>
  </r>
  <r>
    <d v="2024-04-27T00:00:00"/>
    <x v="3"/>
    <s v="SUIN QUILAMBAQUI HOLGER JUVENTINO"/>
    <x v="0"/>
    <n v="46"/>
    <x v="0"/>
    <x v="0"/>
    <s v="ENFERMEDAD DIARREICA AGUDA"/>
    <x v="6"/>
    <s v="DEF"/>
    <s v="PERFORISTA"/>
    <x v="2"/>
    <n v="3"/>
  </r>
  <r>
    <d v="2024-04-28T00:00:00"/>
    <x v="3"/>
    <s v="ABAD SUAREZ JIMMY ARMANDO"/>
    <x v="0"/>
    <n v="43"/>
    <x v="0"/>
    <x v="0"/>
    <s v="EPIGASTRALGIA"/>
    <x v="6"/>
    <s v="DEF"/>
    <s v="SUPERVISOR DE PROYECTO"/>
    <x v="0"/>
    <n v="3"/>
  </r>
  <r>
    <d v="2024-04-28T00:00:00"/>
    <x v="3"/>
    <s v="ROSARIO BRAVO JULIO JOSÉ"/>
    <x v="0"/>
    <n v="25"/>
    <x v="0"/>
    <x v="0"/>
    <s v="MIALGIA"/>
    <x v="1"/>
    <s v="DEF"/>
    <s v="AYUDANTE DE PERFORACION"/>
    <x v="0"/>
    <n v="3"/>
  </r>
  <r>
    <d v="2024-04-28T00:00:00"/>
    <x v="3"/>
    <s v="SAAVEDRA PARRA ROBERTH MAURICIO"/>
    <x v="0"/>
    <n v="27"/>
    <x v="1"/>
    <x v="0"/>
    <s v="FRACTURA DEL PULGAR"/>
    <x v="10"/>
    <s v="DEF"/>
    <s v="AYUDANTE DE PERFORACION"/>
    <x v="2"/>
    <n v="2"/>
  </r>
  <r>
    <d v="2024-04-29T00:00:00"/>
    <x v="3"/>
    <s v="SUASNAVAS CERVANTES MARIO ALEJANDRO"/>
    <x v="0"/>
    <n v="36"/>
    <x v="0"/>
    <x v="0"/>
    <s v="ACIDEZ ESTOMACAL "/>
    <x v="6"/>
    <s v="DEF"/>
    <s v="LOGISTICO DE PROYECTO"/>
    <x v="0"/>
    <n v="3"/>
  </r>
  <r>
    <d v="2024-04-29T00:00:00"/>
    <x v="3"/>
    <s v="ROJAS GONZA JOSE EFRAIN"/>
    <x v="0"/>
    <n v="49"/>
    <x v="0"/>
    <x v="0"/>
    <s v="ACIDEZ ESTOMACAL "/>
    <x v="6"/>
    <s v="DEF"/>
    <s v="AYUDANTE DE PERFORACION"/>
    <x v="0"/>
    <n v="3"/>
  </r>
  <r>
    <d v="2024-04-29T00:00:00"/>
    <x v="3"/>
    <s v="PARDO ABAD ANGEL JOSE"/>
    <x v="0"/>
    <n v="35"/>
    <x v="0"/>
    <x v="0"/>
    <s v="RESFRIADO COMUN"/>
    <x v="0"/>
    <s v="DEF"/>
    <s v="OBRERO DE CAMPO"/>
    <x v="0"/>
    <n v="3"/>
  </r>
  <r>
    <d v="2024-04-29T00:00:00"/>
    <x v="3"/>
    <s v="GAONA CARRION BYRON EDISON"/>
    <x v="0"/>
    <n v="28"/>
    <x v="0"/>
    <x v="0"/>
    <s v="PICADURA DE INSECTO NO VENENOSO, NO ESPECIFICO"/>
    <x v="13"/>
    <s v="DEF"/>
    <s v="OBRERO DE CAMPO"/>
    <x v="0"/>
    <n v="3"/>
  </r>
  <r>
    <d v="2024-05-01T00:00:00"/>
    <x v="4"/>
    <s v="GUZMAN LOPEZ JOHANNA NATHALIA"/>
    <x v="1"/>
    <n v="29"/>
    <x v="0"/>
    <x v="0"/>
    <s v="CEFALEA TENSIONAL"/>
    <x v="2"/>
    <s v="DEF"/>
    <s v="ASISTENTE DE TALENTO HUMANO"/>
    <x v="3"/>
    <n v="3"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  <r>
    <m/>
    <x v="0"/>
    <m/>
    <x v="2"/>
    <s v=""/>
    <x v="2"/>
    <x v="0"/>
    <m/>
    <x v="3"/>
    <m/>
    <s v="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CA9D20-1563-4B7A-8695-9CA988FC6586}" name="TablaDinámica4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S2:T4" firstHeaderRow="1" firstDataRow="1" firstDataCol="1"/>
  <pivotFields count="14">
    <pivotField showAll="0"/>
    <pivotField showAll="0">
      <items count="4">
        <item x="0"/>
        <item m="1" x="1"/>
        <item m="1" x="2"/>
        <item t="default"/>
      </items>
    </pivotField>
    <pivotField showAll="0"/>
    <pivotField showAll="0"/>
    <pivotField showAll="0"/>
    <pivotField showAll="0"/>
    <pivotField axis="axisRow" dataField="1" showAll="0">
      <items count="4">
        <item m="1" x="1"/>
        <item m="1" x="2"/>
        <item x="0"/>
        <item t="default"/>
      </items>
    </pivotField>
    <pivotField showAll="0"/>
    <pivotField showAll="0"/>
    <pivotField showAll="0"/>
    <pivotField showAll="0"/>
    <pivotField showAll="0">
      <items count="5">
        <item m="1" x="2"/>
        <item m="1" x="3"/>
        <item m="1" x="1"/>
        <item x="0"/>
        <item t="default"/>
      </items>
    </pivotField>
    <pivotField showAll="0"/>
    <pivotField showAll="0"/>
  </pivotFields>
  <rowFields count="1">
    <field x="6"/>
  </rowFields>
  <rowItems count="2">
    <i>
      <x v="2"/>
    </i>
    <i t="grand">
      <x/>
    </i>
  </rowItems>
  <colItems count="1">
    <i/>
  </colItems>
  <dataFields count="1">
    <dataField name="Cuenta de REPOSO MÉDIC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BF4FD8-91DA-480D-8A3E-0AE52569B861}" name="TablaDinámica2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C2:D4" firstHeaderRow="1" firstDataRow="1" firstDataCol="1"/>
  <pivotFields count="14">
    <pivotField showAll="0"/>
    <pivotField showAll="0">
      <items count="4">
        <item x="0"/>
        <item m="1" x="1"/>
        <item m="1" x="2"/>
        <item t="default"/>
      </items>
    </pivotField>
    <pivotField showAll="0"/>
    <pivotField axis="axisRow" dataField="1" showAll="0">
      <items count="4">
        <item x="0"/>
        <item m="1"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5">
        <item m="1" x="2"/>
        <item m="1" x="3"/>
        <item m="1" x="1"/>
        <item x="0"/>
        <item t="default"/>
      </items>
    </pivotField>
    <pivotField showAll="0"/>
    <pivotField showAll="0"/>
  </pivotFields>
  <rowFields count="1">
    <field x="3"/>
  </rowFields>
  <rowItems count="2">
    <i>
      <x/>
    </i>
    <i t="grand">
      <x/>
    </i>
  </rowItems>
  <colItems count="1">
    <i/>
  </colItems>
  <dataFields count="1">
    <dataField name="Cuenta de SEXO 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B6CE0D-7828-41CD-99CB-F03257C3E6DC}" name="TablaDinámica6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H2:AI4" firstHeaderRow="1" firstDataRow="1" firstDataCol="1"/>
  <pivotFields count="14">
    <pivotField showAll="0"/>
    <pivotField showAll="0">
      <items count="4">
        <item x="0"/>
        <item m="1"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2"/>
        <item m="1" x="3"/>
        <item m="1" x="1"/>
        <item x="0"/>
        <item t="default"/>
      </items>
    </pivotField>
    <pivotField showAll="0"/>
    <pivotField showAll="0"/>
  </pivotFields>
  <rowFields count="1">
    <field x="11"/>
  </rowFields>
  <rowItems count="2">
    <i>
      <x v="3"/>
    </i>
    <i t="grand">
      <x/>
    </i>
  </rowItems>
  <colItems count="1">
    <i/>
  </colItems>
  <dataFields count="1">
    <dataField name="Cuenta de PROYECTO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681C46-E2E8-4047-82C4-1E7AD9AE73E7}" name="TablaDinámica1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:A3" firstHeaderRow="1" firstDataRow="1" firstDataCol="0"/>
  <pivotFields count="14">
    <pivotField showAll="0"/>
    <pivotField dataField="1" showAll="0">
      <items count="4">
        <item x="0"/>
        <item m="1"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m="1" x="2"/>
        <item m="1" x="3"/>
        <item m="1" x="1"/>
        <item x="0"/>
        <item t="default"/>
      </items>
    </pivotField>
    <pivotField showAll="0"/>
    <pivotField showAll="0"/>
  </pivotFields>
  <rowItems count="1">
    <i/>
  </rowItems>
  <colItems count="1">
    <i/>
  </colItems>
  <dataFields count="1">
    <dataField name="Suma de ME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6E422E-A715-4F77-827B-7B2B9904BE48}" name="TablaDinámica5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Z2:AA4" firstHeaderRow="1" firstDataRow="1" firstDataCol="1"/>
  <pivotFields count="14">
    <pivotField showAll="0"/>
    <pivotField showAll="0">
      <items count="4">
        <item x="0"/>
        <item m="1"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m="1" x="2"/>
        <item m="1" x="1"/>
        <item x="0"/>
        <item t="default"/>
      </items>
    </pivotField>
    <pivotField showAll="0"/>
    <pivotField showAll="0"/>
    <pivotField showAll="0">
      <items count="5">
        <item m="1" x="2"/>
        <item m="1" x="3"/>
        <item m="1" x="1"/>
        <item x="0"/>
        <item t="default"/>
      </items>
    </pivotField>
    <pivotField showAll="0"/>
    <pivotField showAll="0"/>
  </pivotFields>
  <rowFields count="1">
    <field x="8"/>
  </rowFields>
  <rowItems count="2">
    <i>
      <x v="3"/>
    </i>
    <i t="grand">
      <x/>
    </i>
  </rowItems>
  <colItems count="1">
    <i/>
  </colItems>
  <dataFields count="1">
    <dataField name="Cuenta de CATEGORIA DEL DX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91753C-BE0A-4985-B2FC-0A10F4B665F6}" name="TablaDinámica3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K2:L4" firstHeaderRow="1" firstDataRow="1" firstDataCol="1"/>
  <pivotFields count="14">
    <pivotField showAll="0"/>
    <pivotField showAll="0">
      <items count="4">
        <item x="0"/>
        <item m="1" x="1"/>
        <item m="1" x="2"/>
        <item t="default"/>
      </items>
    </pivotField>
    <pivotField showAll="0"/>
    <pivotField showAll="0"/>
    <pivotField showAll="0"/>
    <pivotField axis="axisRow" dataField="1" showAll="0">
      <items count="4">
        <item m="1"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>
      <items count="5">
        <item m="1" x="2"/>
        <item m="1" x="3"/>
        <item m="1" x="1"/>
        <item x="0"/>
        <item t="default"/>
      </items>
    </pivotField>
    <pivotField showAll="0"/>
    <pivotField showAll="0"/>
  </pivotFields>
  <rowFields count="1">
    <field x="5"/>
  </rowFields>
  <rowItems count="2">
    <i>
      <x v="2"/>
    </i>
    <i t="grand">
      <x/>
    </i>
  </rowItems>
  <colItems count="1">
    <i/>
  </colItems>
  <dataFields count="1">
    <dataField name="Cuenta de TIPO DE MORBILIDAD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" xr10:uid="{296A44D0-C62B-4421-BA74-A69AA39FCBD6}" sourceName="MES">
  <data>
    <tabular pivotCacheId="1267392903">
      <items count="8">
        <i x="0" s="1"/>
        <i x="1" s="1"/>
        <i x="2" s="1"/>
        <i x="3" s="1"/>
        <i x="4" s="1"/>
        <i x="5" s="1" nd="1"/>
        <i x="6" s="1" nd="1"/>
        <i x="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YECTO" xr10:uid="{3D58155F-70E8-4D05-B1C3-B9997B5B3316}" sourceName="PROYECTO">
  <data>
    <tabular pivotCacheId="1267392903">
      <items count="9">
        <i x="1" s="1"/>
        <i x="3" s="1"/>
        <i x="4" s="1"/>
        <i x="0" s="1"/>
        <i x="2" s="1"/>
        <i x="5" s="1"/>
        <i x="7" s="1" nd="1"/>
        <i x="8" s="1" nd="1"/>
        <i x="6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S1" xr10:uid="{B6EFD4A9-4BDC-4F2B-8F6C-56E8290B0BD8}" sourceName="MES">
  <pivotTables>
    <pivotTable tabId="16" name="TablaDinámica1"/>
    <pivotTable tabId="16" name="TablaDinámica2"/>
    <pivotTable tabId="16" name="TablaDinámica3"/>
    <pivotTable tabId="16" name="TablaDinámica4"/>
    <pivotTable tabId="16" name="TablaDinámica5"/>
    <pivotTable tabId="16" name="TablaDinámica6"/>
  </pivotTables>
  <data>
    <tabular pivotCacheId="787749603">
      <items count="3">
        <i x="0" s="1"/>
        <i x="1" s="1" nd="1"/>
        <i x="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YECTO1" xr10:uid="{7E168904-3962-48D7-894C-B57DADBD18A6}" sourceName="PROYECTO">
  <pivotTables>
    <pivotTable tabId="16" name="TablaDinámica1"/>
    <pivotTable tabId="16" name="TablaDinámica2"/>
    <pivotTable tabId="16" name="TablaDinámica3"/>
    <pivotTable tabId="16" name="TablaDinámica4"/>
    <pivotTable tabId="16" name="TablaDinámica5"/>
    <pivotTable tabId="16" name="TablaDinámica6"/>
  </pivotTables>
  <data>
    <tabular pivotCacheId="787749603">
      <items count="4">
        <i x="0" s="1"/>
        <i x="2" s="1" nd="1"/>
        <i x="3" s="1" nd="1"/>
        <i x="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1" xr10:uid="{DF82C513-71DC-46C5-9157-8C784708907D}" cache="SegmentaciónDeDatos_MES1" caption="MES" columnCount="2" showCaption="0" style="Estilo de segmentación de datos 2" rowHeight="234950"/>
  <slicer name="PROYECTO 1" xr10:uid="{B1B82BD5-1349-4DE2-A1DD-905F59B4D070}" cache="SegmentaciónDeDatos_PROYECTO1" caption="PROYECTO" showCaption="0" style="Estilo de segmentación de datos 2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 2" xr10:uid="{89376336-3AEA-4A01-8390-627A181D0DA3}" cache="SegmentaciónDeDatos_MES" caption="MES" showCaption="0" style="SlicerStyleDark1" rowHeight="234950"/>
  <slicer name="PROYECTO 2" xr10:uid="{083F8F27-2EA1-4006-B45C-29FF72AAE222}" cache="SegmentaciónDeDatos_PROYECTO" caption="PROYECTO" showCaption="0" style="SlicerStyleDark1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B54784-CE00-4510-842A-55928AA9D8BD}" name="T_CÓDIGO" displayName="T_CÓDIGO" ref="A3:F451" totalsRowShown="0" headerRowDxfId="91" dataDxfId="89" headerRowBorderDxfId="90">
  <autoFilter ref="A3:F451" xr:uid="{841D0855-A2EF-4D0C-A353-C7D98988386E}"/>
  <sortState xmlns:xlrd2="http://schemas.microsoft.com/office/spreadsheetml/2017/richdata2" ref="A4:F451">
    <sortCondition ref="A4:A451"/>
  </sortState>
  <tableColumns count="6">
    <tableColumn id="1" xr3:uid="{FB80E23F-33CE-4F22-90B1-6E99B6BFA15D}" name="NOMBRE COMPLETO" dataDxfId="88"/>
    <tableColumn id="6" xr3:uid="{3AA31A5B-2835-4026-B28A-57783BA0ED15}" name="N° DE IDENTIFICACIÓN" dataDxfId="87" dataCellStyle="Normal 2"/>
    <tableColumn id="4" xr3:uid="{D37EFEAE-EA47-4B1B-B6E9-60BF787B2104}" name="CARGO" dataDxfId="86" dataCellStyle="Normal 2"/>
    <tableColumn id="3" xr3:uid="{3245D6EF-B578-410D-AF31-E5F986BBF95D}" name="SEXO" dataDxfId="85" dataCellStyle="Normal 2"/>
    <tableColumn id="2" xr3:uid="{D5688A6F-5F37-4ADB-ACEC-5899AF4BC11D}" name="FECHA DE NACIMIENTO" dataDxfId="84"/>
    <tableColumn id="5" xr3:uid="{4678E82C-7C7B-4533-9C95-48BC310E59E0}" name="EDAD" dataDxfId="83">
      <calculatedColumnFormula>IF(T_CÓDIGO[[#This Row],[FECHA DE NACIMIENTO]]="","",YEAR(TODAY())-YEAR(T_CÓDIGO[[#This Row],[FECHA DE NACIMIENTO]])-IF(OR(MONTH(TODAY())&lt;MONTH(E4),AND(MONTH(TODAY())=MONTH(E4),DAY(TODAY())&lt;DAY(E4))),1,0))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7229D3-DAB4-4CEE-BC4C-DBDB41758B13}" name="Tabla1" displayName="Tabla1" ref="F2:I5" totalsRowShown="0" headerRowDxfId="111" dataDxfId="110">
  <autoFilter ref="F2:I5" xr:uid="{AE7229D3-DAB4-4CEE-BC4C-DBDB41758B13}"/>
  <tableColumns count="4">
    <tableColumn id="1" xr3:uid="{97B55F56-2C2B-4F76-A1F2-CD83A84B98D3}" name="SEXO" dataDxfId="109"/>
    <tableColumn id="2" xr3:uid="{8F2BA9A5-C9A3-4500-814F-AAC2DF9D95BE}" name="CANTIDAD" dataDxfId="108"/>
    <tableColumn id="3" xr3:uid="{5EA8E682-872F-4224-B46A-AEC78950AD5E}" name="%" dataDxfId="107"/>
    <tableColumn id="4" xr3:uid="{B1072A63-FFE9-45A8-AC72-E5CED376387D}" name="Columna1" dataDxfId="10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8D035A-F453-4436-973E-9B382C5CC290}" name="Tabla3" displayName="Tabla3" ref="N2:Q7" totalsRowShown="0" dataDxfId="105">
  <autoFilter ref="N2:Q7" xr:uid="{678D035A-F453-4436-973E-9B382C5CC290}"/>
  <tableColumns count="4">
    <tableColumn id="1" xr3:uid="{34EBCF2F-8945-48CA-8571-13ECC686DE58}" name="TIPO" dataDxfId="104" dataCellStyle="Normal 2 2"/>
    <tableColumn id="2" xr3:uid="{D07A708B-FD6A-407F-A480-DD99C657B04F}" name="CANTIDAD" dataDxfId="103"/>
    <tableColumn id="3" xr3:uid="{C0AA0706-B0C3-45CC-9722-7DA97D76E986}" name="%" dataDxfId="102" dataCellStyle="Porcentaje"/>
    <tableColumn id="4" xr3:uid="{D0324713-7F73-424A-8615-84694A220B7B}" name="Columna1" dataDxfId="10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4FD128-7451-442A-9B1D-57833B957428}" name="Tabla4" displayName="Tabla4" ref="AC2:AF23" totalsRowShown="0">
  <autoFilter ref="AC2:AF23" xr:uid="{F14FD128-7451-442A-9B1D-57833B957428}"/>
  <tableColumns count="4">
    <tableColumn id="1" xr3:uid="{39C6B42E-BC9E-4F17-BC63-E19E43D23C03}" name="CATEGORIA" dataDxfId="100" dataCellStyle="Normal 2 2"/>
    <tableColumn id="2" xr3:uid="{48D8BB99-6441-4EA3-8036-8B2E0456D04A}" name="CANTIDAD" dataDxfId="99"/>
    <tableColumn id="3" xr3:uid="{ED2A8E27-6F4B-4633-AFF3-D5EA563E7AA9}" name="%" dataDxfId="98" dataCellStyle="Porcentaje"/>
    <tableColumn id="4" xr3:uid="{BA4E3CE2-185F-4557-99E3-51E62BE5ADEE}" name="Columna1" dataDxfId="9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3FD7CE7-90D0-457D-BDC3-29E8102ECF79}" name="Tabla5" displayName="Tabla5" ref="AK2:AN14" totalsRowShown="0" tableBorderDxfId="96">
  <autoFilter ref="AK2:AN14" xr:uid="{A3FD7CE7-90D0-457D-BDC3-29E8102ECF79}"/>
  <tableColumns count="4">
    <tableColumn id="1" xr3:uid="{B253304C-F285-4191-A6E3-4454833DD726}" name="PROYECTO" dataDxfId="95"/>
    <tableColumn id="2" xr3:uid="{2C58DF87-9ED9-4166-87FA-D6EF44896FAC}" name="CANTIDAD" dataDxfId="94"/>
    <tableColumn id="3" xr3:uid="{2F49ED45-1160-491F-BCD3-4FCDC14D25D8}" name="PROVINCIA" dataDxfId="93"/>
    <tableColumn id="4" xr3:uid="{7DBFC272-254A-45CC-A9D8-CDEC1E0C3576}" name="CANTIDAD2" dataDxfId="9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63FBB09-3A8F-45CF-8115-1BA0240B5779}" name="Tabla6" displayName="Tabla6" ref="AP2:AQ7" totalsRowShown="0">
  <autoFilter ref="AP2:AQ7" xr:uid="{063FBB09-3A8F-45CF-8115-1BA0240B5779}"/>
  <tableColumns count="2">
    <tableColumn id="1" xr3:uid="{91BBEF01-D41F-4E9A-95CB-29B75518A967}" name="CONS. PROV"/>
    <tableColumn id="2" xr3:uid="{C9E0198C-3DDA-43C8-984A-28D71E312D14}" name="CA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6.xml"/><Relationship Id="rId12" Type="http://schemas.openxmlformats.org/officeDocument/2006/relationships/table" Target="../tables/table6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table" Target="../tables/table5.xml"/><Relationship Id="rId5" Type="http://schemas.openxmlformats.org/officeDocument/2006/relationships/pivotTable" Target="../pivotTables/pivotTable5.xml"/><Relationship Id="rId10" Type="http://schemas.openxmlformats.org/officeDocument/2006/relationships/table" Target="../tables/table4.xml"/><Relationship Id="rId4" Type="http://schemas.openxmlformats.org/officeDocument/2006/relationships/pivotTable" Target="../pivotTables/pivotTable4.xml"/><Relationship Id="rId9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E266-770A-4305-9DDE-B65C1AADB91D}">
  <sheetPr>
    <tabColor rgb="FF002060"/>
  </sheetPr>
  <dimension ref="A1:T1"/>
  <sheetViews>
    <sheetView showGridLines="0" showRowColHeaders="0" view="pageBreakPreview" topLeftCell="A33" zoomScale="90" zoomScaleNormal="140" zoomScaleSheetLayoutView="90" workbookViewId="0">
      <selection activeCell="T11" sqref="T11"/>
    </sheetView>
  </sheetViews>
  <sheetFormatPr baseColWidth="10" defaultColWidth="11.5546875" defaultRowHeight="14.4" x14ac:dyDescent="0.3"/>
  <cols>
    <col min="1" max="16384" width="11.5546875" style="8"/>
  </cols>
  <sheetData>
    <row r="1" spans="1:20" s="48" customFormat="1" ht="63.6" customHeigh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</sheetData>
  <pageMargins left="0.7" right="0.7" top="0.75" bottom="0.75" header="0.3" footer="0.3"/>
  <pageSetup scale="41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E1A7-163A-4BBB-83B5-4EABF7D51554}">
  <sheetPr>
    <tabColor theme="1"/>
  </sheetPr>
  <dimension ref="A1:N877"/>
  <sheetViews>
    <sheetView showGridLines="0" tabSelected="1" view="pageBreakPreview" zoomScale="99" zoomScaleNormal="90" zoomScaleSheetLayoutView="99" workbookViewId="0">
      <selection activeCell="A3" sqref="A3"/>
    </sheetView>
  </sheetViews>
  <sheetFormatPr baseColWidth="10" defaultColWidth="11.44140625" defaultRowHeight="14.4" x14ac:dyDescent="0.3"/>
  <cols>
    <col min="3" max="3" width="51.77734375" customWidth="1"/>
    <col min="6" max="6" width="28.88671875" customWidth="1"/>
    <col min="7" max="7" width="8.77734375" customWidth="1"/>
    <col min="8" max="8" width="47.44140625" customWidth="1"/>
    <col min="9" max="9" width="37.6640625" customWidth="1"/>
    <col min="10" max="10" width="15.109375" customWidth="1"/>
    <col min="11" max="11" width="30.88671875" customWidth="1"/>
    <col min="12" max="12" width="24.109375" customWidth="1"/>
    <col min="13" max="13" width="8.21875" customWidth="1"/>
    <col min="14" max="14" width="7.21875" customWidth="1"/>
  </cols>
  <sheetData>
    <row r="1" spans="1:14" s="48" customFormat="1" ht="63.6" customHeight="1" x14ac:dyDescent="0.25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48" customFormat="1" ht="21.9" customHeight="1" x14ac:dyDescent="0.25">
      <c r="A2" s="49"/>
      <c r="B2" s="49"/>
      <c r="C2" s="50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s="48" customFormat="1" ht="21.9" customHeight="1" x14ac:dyDescent="0.25">
      <c r="A3" s="51" t="s">
        <v>1009</v>
      </c>
      <c r="B3" s="51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s="48" customFormat="1" ht="21.9" customHeight="1" x14ac:dyDescent="0.25">
      <c r="A4" s="52">
        <v>2025</v>
      </c>
      <c r="B4" s="52"/>
      <c r="C4" s="50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48" customFormat="1" ht="21.9" customHeight="1" x14ac:dyDescent="0.25">
      <c r="A5" s="53" t="s">
        <v>934</v>
      </c>
      <c r="B5" s="52"/>
      <c r="C5" s="50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48" customFormat="1" ht="21.9" customHeight="1" x14ac:dyDescent="0.25">
      <c r="A6" s="49"/>
      <c r="B6" s="49"/>
      <c r="C6" s="5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s="40" customFormat="1" ht="21.9" customHeight="1" x14ac:dyDescent="0.25">
      <c r="A7" s="92" t="s">
        <v>932</v>
      </c>
      <c r="B7" s="93"/>
      <c r="C7" s="93"/>
      <c r="D7" s="93"/>
      <c r="E7" s="93"/>
      <c r="F7" s="94" t="s">
        <v>933</v>
      </c>
      <c r="G7" s="94"/>
      <c r="H7" s="94"/>
      <c r="I7" s="94"/>
      <c r="J7" s="94"/>
      <c r="K7" s="94"/>
      <c r="L7" s="94"/>
      <c r="M7" s="94"/>
      <c r="N7" s="95"/>
    </row>
    <row r="8" spans="1:14" ht="106.8" customHeight="1" thickBot="1" x14ac:dyDescent="0.35">
      <c r="A8" s="43" t="s">
        <v>708</v>
      </c>
      <c r="B8" s="43" t="s">
        <v>0</v>
      </c>
      <c r="C8" s="44" t="s">
        <v>1</v>
      </c>
      <c r="D8" s="45" t="s">
        <v>2</v>
      </c>
      <c r="E8" s="45" t="s">
        <v>3</v>
      </c>
      <c r="F8" s="46" t="s">
        <v>4</v>
      </c>
      <c r="G8" s="47" t="s">
        <v>928</v>
      </c>
      <c r="H8" s="46" t="s">
        <v>5</v>
      </c>
      <c r="I8" s="46" t="s">
        <v>6</v>
      </c>
      <c r="J8" s="46" t="s">
        <v>7</v>
      </c>
      <c r="K8" s="46" t="s">
        <v>8</v>
      </c>
      <c r="L8" s="46" t="s">
        <v>9</v>
      </c>
      <c r="M8" s="47" t="s">
        <v>995</v>
      </c>
      <c r="N8" s="47" t="s">
        <v>10</v>
      </c>
    </row>
    <row r="9" spans="1:14" s="2" customFormat="1" ht="15" thickBot="1" x14ac:dyDescent="0.35">
      <c r="A9" s="29"/>
      <c r="B9" s="30">
        <f>MONTH(A9)</f>
        <v>1</v>
      </c>
      <c r="C9" s="28"/>
      <c r="D9" s="35" t="str">
        <f>IFERROR(VLOOKUP(C9,T_CÓDIGO[#All],4,FALSE),"")</f>
        <v/>
      </c>
      <c r="E9" s="30" t="str">
        <f>IFERROR(VLOOKUP(C9,T_CÓDIGO[#All],6,FALSE),"")</f>
        <v/>
      </c>
      <c r="F9" s="28"/>
      <c r="G9" s="30"/>
      <c r="H9" s="28"/>
      <c r="I9" s="30"/>
      <c r="J9" s="30"/>
      <c r="K9" s="30" t="str">
        <f>IFERROR(VLOOKUP(C9,T_CÓDIGO[#All],3,FALSE),"")</f>
        <v/>
      </c>
      <c r="L9" s="28"/>
      <c r="M9" s="28"/>
      <c r="N9" s="30"/>
    </row>
    <row r="10" spans="1:14" s="2" customFormat="1" ht="15" thickBot="1" x14ac:dyDescent="0.35">
      <c r="A10" s="29"/>
      <c r="B10" s="30">
        <f t="shared" ref="B10:B73" si="0">MONTH(A10)</f>
        <v>1</v>
      </c>
      <c r="C10" s="28"/>
      <c r="D10" s="35" t="str">
        <f>IFERROR(VLOOKUP(C10,T_CÓDIGO[#All],4,FALSE),"")</f>
        <v/>
      </c>
      <c r="E10" s="30" t="str">
        <f>IFERROR(VLOOKUP(C10,T_CÓDIGO[#All],6,FALSE),"")</f>
        <v/>
      </c>
      <c r="F10" s="28"/>
      <c r="G10" s="30"/>
      <c r="H10" s="28"/>
      <c r="I10" s="30"/>
      <c r="J10" s="30"/>
      <c r="K10" s="30" t="str">
        <f>IFERROR(VLOOKUP(C10,T_CÓDIGO[#All],3,FALSE),"")</f>
        <v/>
      </c>
      <c r="L10" s="28"/>
      <c r="M10" s="28"/>
      <c r="N10" s="30"/>
    </row>
    <row r="11" spans="1:14" s="2" customFormat="1" ht="15" thickBot="1" x14ac:dyDescent="0.35">
      <c r="A11" s="29"/>
      <c r="B11" s="30">
        <f t="shared" si="0"/>
        <v>1</v>
      </c>
      <c r="C11" s="28"/>
      <c r="D11" s="35" t="str">
        <f>IFERROR(VLOOKUP(C11,T_CÓDIGO[#All],4,FALSE),"")</f>
        <v/>
      </c>
      <c r="E11" s="30" t="str">
        <f>IFERROR(VLOOKUP(C11,T_CÓDIGO[#All],6,FALSE),"")</f>
        <v/>
      </c>
      <c r="F11" s="28"/>
      <c r="G11" s="30"/>
      <c r="H11" s="28"/>
      <c r="I11" s="30"/>
      <c r="J11" s="30"/>
      <c r="K11" s="30" t="str">
        <f>IFERROR(VLOOKUP(C11,T_CÓDIGO[#All],3,FALSE),"")</f>
        <v/>
      </c>
      <c r="L11" s="28"/>
      <c r="M11" s="28"/>
      <c r="N11" s="30"/>
    </row>
    <row r="12" spans="1:14" s="2" customFormat="1" ht="15" thickBot="1" x14ac:dyDescent="0.35">
      <c r="A12" s="29"/>
      <c r="B12" s="30">
        <f t="shared" si="0"/>
        <v>1</v>
      </c>
      <c r="C12" s="28"/>
      <c r="D12" s="35" t="str">
        <f>IFERROR(VLOOKUP(C12,T_CÓDIGO[#All],4,FALSE),"")</f>
        <v/>
      </c>
      <c r="E12" s="30" t="str">
        <f>IFERROR(VLOOKUP(C12,T_CÓDIGO[#All],6,FALSE),"")</f>
        <v/>
      </c>
      <c r="F12" s="28"/>
      <c r="G12" s="30"/>
      <c r="H12" s="28"/>
      <c r="I12" s="30"/>
      <c r="J12" s="30"/>
      <c r="K12" s="30" t="str">
        <f>IFERROR(VLOOKUP(C12,T_CÓDIGO[#All],3,FALSE),"")</f>
        <v/>
      </c>
      <c r="L12" s="28"/>
      <c r="M12" s="28"/>
      <c r="N12" s="30"/>
    </row>
    <row r="13" spans="1:14" s="2" customFormat="1" ht="15" thickBot="1" x14ac:dyDescent="0.35">
      <c r="A13" s="29"/>
      <c r="B13" s="30">
        <f t="shared" si="0"/>
        <v>1</v>
      </c>
      <c r="C13" s="28"/>
      <c r="D13" s="35" t="str">
        <f>IFERROR(VLOOKUP(C13,T_CÓDIGO[#All],4,FALSE),"")</f>
        <v/>
      </c>
      <c r="E13" s="30" t="str">
        <f>IFERROR(VLOOKUP(C13,T_CÓDIGO[#All],6,FALSE),"")</f>
        <v/>
      </c>
      <c r="F13" s="28"/>
      <c r="G13" s="30"/>
      <c r="H13" s="28"/>
      <c r="I13" s="30"/>
      <c r="J13" s="30"/>
      <c r="K13" s="30" t="str">
        <f>IFERROR(VLOOKUP(C13,T_CÓDIGO[#All],3,FALSE),"")</f>
        <v/>
      </c>
      <c r="L13" s="28"/>
      <c r="M13" s="28"/>
      <c r="N13" s="30"/>
    </row>
    <row r="14" spans="1:14" s="2" customFormat="1" ht="15" thickBot="1" x14ac:dyDescent="0.35">
      <c r="A14" s="29"/>
      <c r="B14" s="30">
        <f t="shared" si="0"/>
        <v>1</v>
      </c>
      <c r="C14" s="28"/>
      <c r="D14" s="35" t="str">
        <f>IFERROR(VLOOKUP(C14,T_CÓDIGO[#All],4,FALSE),"")</f>
        <v/>
      </c>
      <c r="E14" s="30" t="str">
        <f>IFERROR(VLOOKUP(C14,T_CÓDIGO[#All],6,FALSE),"")</f>
        <v/>
      </c>
      <c r="F14" s="28"/>
      <c r="G14" s="30"/>
      <c r="H14" s="28"/>
      <c r="I14" s="30"/>
      <c r="J14" s="30"/>
      <c r="K14" s="30" t="str">
        <f>IFERROR(VLOOKUP(C14,T_CÓDIGO[#All],3,FALSE),"")</f>
        <v/>
      </c>
      <c r="L14" s="28"/>
      <c r="M14" s="28"/>
      <c r="N14" s="30"/>
    </row>
    <row r="15" spans="1:14" s="2" customFormat="1" ht="15" thickBot="1" x14ac:dyDescent="0.35">
      <c r="A15" s="29"/>
      <c r="B15" s="30">
        <f t="shared" si="0"/>
        <v>1</v>
      </c>
      <c r="C15" s="28"/>
      <c r="D15" s="35" t="str">
        <f>IFERROR(VLOOKUP(C15,T_CÓDIGO[#All],4,FALSE),"")</f>
        <v/>
      </c>
      <c r="E15" s="30" t="str">
        <f>IFERROR(VLOOKUP(C15,T_CÓDIGO[#All],6,FALSE),"")</f>
        <v/>
      </c>
      <c r="F15" s="28"/>
      <c r="G15" s="30"/>
      <c r="H15" s="28"/>
      <c r="I15" s="30"/>
      <c r="J15" s="30"/>
      <c r="K15" s="30" t="str">
        <f>IFERROR(VLOOKUP(C15,T_CÓDIGO[#All],3,FALSE),"")</f>
        <v/>
      </c>
      <c r="L15" s="28"/>
      <c r="M15" s="28"/>
      <c r="N15" s="30"/>
    </row>
    <row r="16" spans="1:14" s="2" customFormat="1" ht="15" thickBot="1" x14ac:dyDescent="0.35">
      <c r="A16" s="29"/>
      <c r="B16" s="30">
        <f t="shared" si="0"/>
        <v>1</v>
      </c>
      <c r="C16" s="28"/>
      <c r="D16" s="35" t="str">
        <f>IFERROR(VLOOKUP(C16,T_CÓDIGO[#All],4,FALSE),"")</f>
        <v/>
      </c>
      <c r="E16" s="30" t="str">
        <f>IFERROR(VLOOKUP(C16,T_CÓDIGO[#All],6,FALSE),"")</f>
        <v/>
      </c>
      <c r="F16" s="28"/>
      <c r="G16" s="30"/>
      <c r="H16" s="28"/>
      <c r="I16" s="30"/>
      <c r="J16" s="30"/>
      <c r="K16" s="30" t="str">
        <f>IFERROR(VLOOKUP(C16,T_CÓDIGO[#All],3,FALSE),"")</f>
        <v/>
      </c>
      <c r="L16" s="28"/>
      <c r="M16" s="28"/>
      <c r="N16" s="30"/>
    </row>
    <row r="17" spans="1:14" s="2" customFormat="1" ht="15" thickBot="1" x14ac:dyDescent="0.35">
      <c r="A17" s="29"/>
      <c r="B17" s="30">
        <f t="shared" si="0"/>
        <v>1</v>
      </c>
      <c r="C17" s="28"/>
      <c r="D17" s="35" t="str">
        <f>IFERROR(VLOOKUP(C17,T_CÓDIGO[#All],4,FALSE),"")</f>
        <v/>
      </c>
      <c r="E17" s="30" t="str">
        <f>IFERROR(VLOOKUP(C17,T_CÓDIGO[#All],6,FALSE),"")</f>
        <v/>
      </c>
      <c r="F17" s="28"/>
      <c r="G17" s="30"/>
      <c r="H17" s="28"/>
      <c r="I17" s="30"/>
      <c r="J17" s="30"/>
      <c r="K17" s="30" t="str">
        <f>IFERROR(VLOOKUP(C17,T_CÓDIGO[#All],3,FALSE),"")</f>
        <v/>
      </c>
      <c r="L17" s="28"/>
      <c r="M17" s="28"/>
      <c r="N17" s="30"/>
    </row>
    <row r="18" spans="1:14" s="2" customFormat="1" ht="15" thickBot="1" x14ac:dyDescent="0.35">
      <c r="A18" s="29"/>
      <c r="B18" s="30">
        <f t="shared" si="0"/>
        <v>1</v>
      </c>
      <c r="C18" s="28"/>
      <c r="D18" s="35" t="str">
        <f>IFERROR(VLOOKUP(C18,T_CÓDIGO[#All],4,FALSE),"")</f>
        <v/>
      </c>
      <c r="E18" s="30" t="str">
        <f>IFERROR(VLOOKUP(C18,T_CÓDIGO[#All],6,FALSE),"")</f>
        <v/>
      </c>
      <c r="F18" s="28"/>
      <c r="G18" s="30"/>
      <c r="H18" s="28"/>
      <c r="I18" s="30"/>
      <c r="J18" s="30"/>
      <c r="K18" s="30" t="str">
        <f>IFERROR(VLOOKUP(C18,T_CÓDIGO[#All],3,FALSE),"")</f>
        <v/>
      </c>
      <c r="L18" s="28"/>
      <c r="M18" s="28"/>
      <c r="N18" s="30"/>
    </row>
    <row r="19" spans="1:14" s="2" customFormat="1" ht="15" thickBot="1" x14ac:dyDescent="0.35">
      <c r="A19" s="29"/>
      <c r="B19" s="30">
        <f t="shared" si="0"/>
        <v>1</v>
      </c>
      <c r="C19" s="28"/>
      <c r="D19" s="35" t="str">
        <f>IFERROR(VLOOKUP(C19,T_CÓDIGO[#All],4,FALSE),"")</f>
        <v/>
      </c>
      <c r="E19" s="30" t="str">
        <f>IFERROR(VLOOKUP(C19,T_CÓDIGO[#All],6,FALSE),"")</f>
        <v/>
      </c>
      <c r="F19" s="28"/>
      <c r="G19" s="30"/>
      <c r="H19" s="28"/>
      <c r="I19" s="30"/>
      <c r="J19" s="30"/>
      <c r="K19" s="30" t="str">
        <f>IFERROR(VLOOKUP(C19,T_CÓDIGO[#All],3,FALSE),"")</f>
        <v/>
      </c>
      <c r="L19" s="28"/>
      <c r="M19" s="28"/>
      <c r="N19" s="30"/>
    </row>
    <row r="20" spans="1:14" s="2" customFormat="1" ht="15" thickBot="1" x14ac:dyDescent="0.35">
      <c r="A20" s="29"/>
      <c r="B20" s="30">
        <f t="shared" si="0"/>
        <v>1</v>
      </c>
      <c r="C20" s="28"/>
      <c r="D20" s="35" t="str">
        <f>IFERROR(VLOOKUP(C20,T_CÓDIGO[#All],4,FALSE),"")</f>
        <v/>
      </c>
      <c r="E20" s="30" t="str">
        <f>IFERROR(VLOOKUP(C20,T_CÓDIGO[#All],6,FALSE),"")</f>
        <v/>
      </c>
      <c r="F20" s="28"/>
      <c r="G20" s="30"/>
      <c r="H20" s="28"/>
      <c r="I20" s="30"/>
      <c r="J20" s="30"/>
      <c r="K20" s="30" t="str">
        <f>IFERROR(VLOOKUP(C20,T_CÓDIGO[#All],3,FALSE),"")</f>
        <v/>
      </c>
      <c r="L20" s="28"/>
      <c r="M20" s="28"/>
      <c r="N20" s="30"/>
    </row>
    <row r="21" spans="1:14" s="2" customFormat="1" ht="15" thickBot="1" x14ac:dyDescent="0.35">
      <c r="A21" s="29"/>
      <c r="B21" s="30">
        <f t="shared" si="0"/>
        <v>1</v>
      </c>
      <c r="C21" s="28"/>
      <c r="D21" s="35" t="str">
        <f>IFERROR(VLOOKUP(C21,T_CÓDIGO[#All],4,FALSE),"")</f>
        <v/>
      </c>
      <c r="E21" s="30" t="str">
        <f>IFERROR(VLOOKUP(C21,T_CÓDIGO[#All],6,FALSE),"")</f>
        <v/>
      </c>
      <c r="F21" s="28"/>
      <c r="G21" s="30"/>
      <c r="H21" s="28"/>
      <c r="I21" s="30"/>
      <c r="J21" s="30"/>
      <c r="K21" s="30" t="str">
        <f>IFERROR(VLOOKUP(C21,T_CÓDIGO[#All],3,FALSE),"")</f>
        <v/>
      </c>
      <c r="L21" s="28"/>
      <c r="M21" s="28"/>
      <c r="N21" s="30"/>
    </row>
    <row r="22" spans="1:14" s="2" customFormat="1" ht="15" thickBot="1" x14ac:dyDescent="0.35">
      <c r="A22" s="29"/>
      <c r="B22" s="30">
        <f t="shared" si="0"/>
        <v>1</v>
      </c>
      <c r="C22" s="28"/>
      <c r="D22" s="35" t="str">
        <f>IFERROR(VLOOKUP(C22,T_CÓDIGO[#All],4,FALSE),"")</f>
        <v/>
      </c>
      <c r="E22" s="30" t="str">
        <f>IFERROR(VLOOKUP(C22,T_CÓDIGO[#All],6,FALSE),"")</f>
        <v/>
      </c>
      <c r="F22" s="28"/>
      <c r="G22" s="30"/>
      <c r="H22" s="28"/>
      <c r="I22" s="30"/>
      <c r="J22" s="30"/>
      <c r="K22" s="30" t="str">
        <f>IFERROR(VLOOKUP(C22,T_CÓDIGO[#All],3,FALSE),"")</f>
        <v/>
      </c>
      <c r="L22" s="28"/>
      <c r="M22" s="28"/>
      <c r="N22" s="30"/>
    </row>
    <row r="23" spans="1:14" s="2" customFormat="1" ht="15" thickBot="1" x14ac:dyDescent="0.35">
      <c r="A23" s="29"/>
      <c r="B23" s="30">
        <f t="shared" si="0"/>
        <v>1</v>
      </c>
      <c r="C23" s="28"/>
      <c r="D23" s="35" t="str">
        <f>IFERROR(VLOOKUP(C23,T_CÓDIGO[#All],4,FALSE),"")</f>
        <v/>
      </c>
      <c r="E23" s="30" t="str">
        <f>IFERROR(VLOOKUP(C23,T_CÓDIGO[#All],6,FALSE),"")</f>
        <v/>
      </c>
      <c r="F23" s="28"/>
      <c r="G23" s="30"/>
      <c r="H23" s="28"/>
      <c r="I23" s="30"/>
      <c r="J23" s="30"/>
      <c r="K23" s="30" t="str">
        <f>IFERROR(VLOOKUP(C23,T_CÓDIGO[#All],3,FALSE),"")</f>
        <v/>
      </c>
      <c r="L23" s="28"/>
      <c r="M23" s="28"/>
      <c r="N23" s="30"/>
    </row>
    <row r="24" spans="1:14" s="2" customFormat="1" ht="15" thickBot="1" x14ac:dyDescent="0.35">
      <c r="A24" s="29"/>
      <c r="B24" s="30">
        <f t="shared" si="0"/>
        <v>1</v>
      </c>
      <c r="C24" s="28"/>
      <c r="D24" s="35" t="str">
        <f>IFERROR(VLOOKUP(C24,T_CÓDIGO[#All],4,FALSE),"")</f>
        <v/>
      </c>
      <c r="E24" s="30" t="str">
        <f>IFERROR(VLOOKUP(C24,T_CÓDIGO[#All],6,FALSE),"")</f>
        <v/>
      </c>
      <c r="F24" s="28"/>
      <c r="G24" s="30"/>
      <c r="H24" s="28"/>
      <c r="I24" s="30"/>
      <c r="J24" s="30"/>
      <c r="K24" s="30" t="str">
        <f>IFERROR(VLOOKUP(C24,T_CÓDIGO[#All],3,FALSE),"")</f>
        <v/>
      </c>
      <c r="L24" s="28"/>
      <c r="M24" s="28"/>
      <c r="N24" s="30"/>
    </row>
    <row r="25" spans="1:14" s="2" customFormat="1" ht="15" thickBot="1" x14ac:dyDescent="0.35">
      <c r="A25" s="29"/>
      <c r="B25" s="30">
        <f t="shared" si="0"/>
        <v>1</v>
      </c>
      <c r="C25" s="28"/>
      <c r="D25" s="35" t="str">
        <f>IFERROR(VLOOKUP(C25,T_CÓDIGO[#All],4,FALSE),"")</f>
        <v/>
      </c>
      <c r="E25" s="30" t="str">
        <f>IFERROR(VLOOKUP(C25,T_CÓDIGO[#All],6,FALSE),"")</f>
        <v/>
      </c>
      <c r="F25" s="28"/>
      <c r="G25" s="30"/>
      <c r="H25" s="28"/>
      <c r="I25" s="30"/>
      <c r="J25" s="30"/>
      <c r="K25" s="30" t="str">
        <f>IFERROR(VLOOKUP(C25,T_CÓDIGO[#All],3,FALSE),"")</f>
        <v/>
      </c>
      <c r="L25" s="28"/>
      <c r="M25" s="28"/>
      <c r="N25" s="30"/>
    </row>
    <row r="26" spans="1:14" s="2" customFormat="1" ht="15" thickBot="1" x14ac:dyDescent="0.35">
      <c r="A26" s="29"/>
      <c r="B26" s="30">
        <f t="shared" si="0"/>
        <v>1</v>
      </c>
      <c r="C26" s="28"/>
      <c r="D26" s="35" t="str">
        <f>IFERROR(VLOOKUP(C26,T_CÓDIGO[#All],4,FALSE),"")</f>
        <v/>
      </c>
      <c r="E26" s="30" t="str">
        <f>IFERROR(VLOOKUP(C26,T_CÓDIGO[#All],6,FALSE),"")</f>
        <v/>
      </c>
      <c r="F26" s="28"/>
      <c r="G26" s="30"/>
      <c r="H26" s="28"/>
      <c r="I26" s="30"/>
      <c r="J26" s="30"/>
      <c r="K26" s="30" t="str">
        <f>IFERROR(VLOOKUP(C26,T_CÓDIGO[#All],3,FALSE),"")</f>
        <v/>
      </c>
      <c r="L26" s="28"/>
      <c r="M26" s="28"/>
      <c r="N26" s="30"/>
    </row>
    <row r="27" spans="1:14" s="2" customFormat="1" ht="15" thickBot="1" x14ac:dyDescent="0.35">
      <c r="A27" s="29"/>
      <c r="B27" s="30">
        <f t="shared" si="0"/>
        <v>1</v>
      </c>
      <c r="C27" s="28"/>
      <c r="D27" s="35" t="str">
        <f>IFERROR(VLOOKUP(C27,T_CÓDIGO[#All],4,FALSE),"")</f>
        <v/>
      </c>
      <c r="E27" s="30" t="str">
        <f>IFERROR(VLOOKUP(C27,T_CÓDIGO[#All],6,FALSE),"")</f>
        <v/>
      </c>
      <c r="F27" s="28"/>
      <c r="G27" s="30"/>
      <c r="H27" s="28"/>
      <c r="I27" s="30"/>
      <c r="J27" s="30"/>
      <c r="K27" s="30" t="str">
        <f>IFERROR(VLOOKUP(C27,T_CÓDIGO[#All],3,FALSE),"")</f>
        <v/>
      </c>
      <c r="L27" s="28"/>
      <c r="M27" s="28"/>
      <c r="N27" s="30"/>
    </row>
    <row r="28" spans="1:14" s="2" customFormat="1" ht="15" thickBot="1" x14ac:dyDescent="0.35">
      <c r="A28" s="29"/>
      <c r="B28" s="30">
        <f t="shared" si="0"/>
        <v>1</v>
      </c>
      <c r="C28" s="28"/>
      <c r="D28" s="35" t="str">
        <f>IFERROR(VLOOKUP(C28,T_CÓDIGO[#All],4,FALSE),"")</f>
        <v/>
      </c>
      <c r="E28" s="30" t="str">
        <f>IFERROR(VLOOKUP(C28,T_CÓDIGO[#All],6,FALSE),"")</f>
        <v/>
      </c>
      <c r="F28" s="28"/>
      <c r="G28" s="30"/>
      <c r="H28" s="28"/>
      <c r="I28" s="30"/>
      <c r="J28" s="30"/>
      <c r="K28" s="30" t="str">
        <f>IFERROR(VLOOKUP(C28,T_CÓDIGO[#All],3,FALSE),"")</f>
        <v/>
      </c>
      <c r="L28" s="28"/>
      <c r="M28" s="28"/>
      <c r="N28" s="30"/>
    </row>
    <row r="29" spans="1:14" s="2" customFormat="1" ht="15" thickBot="1" x14ac:dyDescent="0.35">
      <c r="A29" s="29"/>
      <c r="B29" s="30">
        <f t="shared" si="0"/>
        <v>1</v>
      </c>
      <c r="C29" s="28"/>
      <c r="D29" s="35" t="str">
        <f>IFERROR(VLOOKUP(C29,T_CÓDIGO[#All],4,FALSE),"")</f>
        <v/>
      </c>
      <c r="E29" s="30" t="str">
        <f>IFERROR(VLOOKUP(C29,T_CÓDIGO[#All],6,FALSE),"")</f>
        <v/>
      </c>
      <c r="F29" s="28"/>
      <c r="G29" s="30"/>
      <c r="H29" s="28"/>
      <c r="I29" s="30"/>
      <c r="J29" s="30"/>
      <c r="K29" s="30" t="str">
        <f>IFERROR(VLOOKUP(C29,T_CÓDIGO[#All],3,FALSE),"")</f>
        <v/>
      </c>
      <c r="L29" s="28"/>
      <c r="M29" s="28"/>
      <c r="N29" s="30"/>
    </row>
    <row r="30" spans="1:14" s="2" customFormat="1" ht="15" thickBot="1" x14ac:dyDescent="0.35">
      <c r="A30" s="29"/>
      <c r="B30" s="30">
        <f t="shared" si="0"/>
        <v>1</v>
      </c>
      <c r="C30" s="28"/>
      <c r="D30" s="35" t="str">
        <f>IFERROR(VLOOKUP(C30,T_CÓDIGO[#All],4,FALSE),"")</f>
        <v/>
      </c>
      <c r="E30" s="30" t="str">
        <f>IFERROR(VLOOKUP(C30,T_CÓDIGO[#All],6,FALSE),"")</f>
        <v/>
      </c>
      <c r="F30" s="28"/>
      <c r="G30" s="30"/>
      <c r="H30" s="28"/>
      <c r="I30" s="30"/>
      <c r="J30" s="30"/>
      <c r="K30" s="30" t="str">
        <f>IFERROR(VLOOKUP(C30,T_CÓDIGO[#All],3,FALSE),"")</f>
        <v/>
      </c>
      <c r="L30" s="28"/>
      <c r="M30" s="28"/>
      <c r="N30" s="30"/>
    </row>
    <row r="31" spans="1:14" s="2" customFormat="1" ht="15" thickBot="1" x14ac:dyDescent="0.35">
      <c r="A31" s="29"/>
      <c r="B31" s="30">
        <f t="shared" si="0"/>
        <v>1</v>
      </c>
      <c r="C31" s="28"/>
      <c r="D31" s="35" t="str">
        <f>IFERROR(VLOOKUP(C31,T_CÓDIGO[#All],4,FALSE),"")</f>
        <v/>
      </c>
      <c r="E31" s="30" t="str">
        <f>IFERROR(VLOOKUP(C31,T_CÓDIGO[#All],6,FALSE),"")</f>
        <v/>
      </c>
      <c r="F31" s="28"/>
      <c r="G31" s="30"/>
      <c r="H31" s="28"/>
      <c r="I31" s="30"/>
      <c r="J31" s="30"/>
      <c r="K31" s="30" t="str">
        <f>IFERROR(VLOOKUP(C31,T_CÓDIGO[#All],3,FALSE),"")</f>
        <v/>
      </c>
      <c r="L31" s="28"/>
      <c r="M31" s="28"/>
      <c r="N31" s="30"/>
    </row>
    <row r="32" spans="1:14" s="2" customFormat="1" ht="15" thickBot="1" x14ac:dyDescent="0.35">
      <c r="A32" s="29"/>
      <c r="B32" s="30">
        <f t="shared" si="0"/>
        <v>1</v>
      </c>
      <c r="C32" s="28"/>
      <c r="D32" s="35" t="str">
        <f>IFERROR(VLOOKUP(C32,T_CÓDIGO[#All],4,FALSE),"")</f>
        <v/>
      </c>
      <c r="E32" s="30" t="str">
        <f>IFERROR(VLOOKUP(C32,T_CÓDIGO[#All],6,FALSE),"")</f>
        <v/>
      </c>
      <c r="F32" s="28"/>
      <c r="G32" s="30"/>
      <c r="H32" s="28"/>
      <c r="I32" s="30"/>
      <c r="J32" s="30"/>
      <c r="K32" s="30" t="str">
        <f>IFERROR(VLOOKUP(C32,T_CÓDIGO[#All],3,FALSE),"")</f>
        <v/>
      </c>
      <c r="L32" s="28"/>
      <c r="M32" s="28"/>
      <c r="N32" s="30"/>
    </row>
    <row r="33" spans="1:14" s="2" customFormat="1" ht="15" thickBot="1" x14ac:dyDescent="0.35">
      <c r="A33" s="29"/>
      <c r="B33" s="30">
        <f t="shared" si="0"/>
        <v>1</v>
      </c>
      <c r="C33" s="28"/>
      <c r="D33" s="35" t="str">
        <f>IFERROR(VLOOKUP(C33,T_CÓDIGO[#All],4,FALSE),"")</f>
        <v/>
      </c>
      <c r="E33" s="30" t="str">
        <f>IFERROR(VLOOKUP(C33,T_CÓDIGO[#All],6,FALSE),"")</f>
        <v/>
      </c>
      <c r="F33" s="28"/>
      <c r="G33" s="30"/>
      <c r="H33" s="28"/>
      <c r="I33" s="30"/>
      <c r="J33" s="30"/>
      <c r="K33" s="30" t="str">
        <f>IFERROR(VLOOKUP(C33,T_CÓDIGO[#All],3,FALSE),"")</f>
        <v/>
      </c>
      <c r="L33" s="28"/>
      <c r="M33" s="28"/>
      <c r="N33" s="30"/>
    </row>
    <row r="34" spans="1:14" s="2" customFormat="1" ht="15" thickBot="1" x14ac:dyDescent="0.35">
      <c r="A34" s="29"/>
      <c r="B34" s="30">
        <f t="shared" si="0"/>
        <v>1</v>
      </c>
      <c r="C34" s="28"/>
      <c r="D34" s="35" t="str">
        <f>IFERROR(VLOOKUP(C34,T_CÓDIGO[#All],4,FALSE),"")</f>
        <v/>
      </c>
      <c r="E34" s="30" t="str">
        <f>IFERROR(VLOOKUP(C34,T_CÓDIGO[#All],6,FALSE),"")</f>
        <v/>
      </c>
      <c r="F34" s="28"/>
      <c r="G34" s="30"/>
      <c r="H34" s="28"/>
      <c r="I34" s="30"/>
      <c r="J34" s="30"/>
      <c r="K34" s="30" t="str">
        <f>IFERROR(VLOOKUP(C34,T_CÓDIGO[#All],3,FALSE),"")</f>
        <v/>
      </c>
      <c r="L34" s="28"/>
      <c r="M34" s="28"/>
      <c r="N34" s="30"/>
    </row>
    <row r="35" spans="1:14" s="2" customFormat="1" ht="15" thickBot="1" x14ac:dyDescent="0.35">
      <c r="A35" s="29"/>
      <c r="B35" s="30">
        <f t="shared" si="0"/>
        <v>1</v>
      </c>
      <c r="C35" s="28"/>
      <c r="D35" s="35" t="str">
        <f>IFERROR(VLOOKUP(C35,T_CÓDIGO[#All],4,FALSE),"")</f>
        <v/>
      </c>
      <c r="E35" s="30" t="str">
        <f>IFERROR(VLOOKUP(C35,T_CÓDIGO[#All],6,FALSE),"")</f>
        <v/>
      </c>
      <c r="F35" s="28"/>
      <c r="G35" s="30"/>
      <c r="H35" s="28"/>
      <c r="I35" s="30"/>
      <c r="J35" s="30"/>
      <c r="K35" s="30" t="str">
        <f>IFERROR(VLOOKUP(C35,T_CÓDIGO[#All],3,FALSE),"")</f>
        <v/>
      </c>
      <c r="L35" s="28"/>
      <c r="M35" s="28"/>
      <c r="N35" s="30"/>
    </row>
    <row r="36" spans="1:14" s="2" customFormat="1" ht="15" thickBot="1" x14ac:dyDescent="0.35">
      <c r="A36" s="29"/>
      <c r="B36" s="30">
        <f t="shared" si="0"/>
        <v>1</v>
      </c>
      <c r="C36" s="28"/>
      <c r="D36" s="35" t="str">
        <f>IFERROR(VLOOKUP(C36,T_CÓDIGO[#All],4,FALSE),"")</f>
        <v/>
      </c>
      <c r="E36" s="30" t="str">
        <f>IFERROR(VLOOKUP(C36,T_CÓDIGO[#All],6,FALSE),"")</f>
        <v/>
      </c>
      <c r="F36" s="28"/>
      <c r="G36" s="30"/>
      <c r="H36" s="28"/>
      <c r="I36" s="30"/>
      <c r="J36" s="30"/>
      <c r="K36" s="30" t="str">
        <f>IFERROR(VLOOKUP(C36,T_CÓDIGO[#All],3,FALSE),"")</f>
        <v/>
      </c>
      <c r="L36" s="28"/>
      <c r="M36" s="28"/>
      <c r="N36" s="30"/>
    </row>
    <row r="37" spans="1:14" s="2" customFormat="1" ht="15" thickBot="1" x14ac:dyDescent="0.35">
      <c r="A37" s="29"/>
      <c r="B37" s="30">
        <f t="shared" si="0"/>
        <v>1</v>
      </c>
      <c r="C37" s="28"/>
      <c r="D37" s="35" t="str">
        <f>IFERROR(VLOOKUP(C37,T_CÓDIGO[#All],4,FALSE),"")</f>
        <v/>
      </c>
      <c r="E37" s="30" t="str">
        <f>IFERROR(VLOOKUP(C37,T_CÓDIGO[#All],6,FALSE),"")</f>
        <v/>
      </c>
      <c r="F37" s="28"/>
      <c r="G37" s="30"/>
      <c r="H37" s="28"/>
      <c r="I37" s="30"/>
      <c r="J37" s="30"/>
      <c r="K37" s="30" t="str">
        <f>IFERROR(VLOOKUP(C37,T_CÓDIGO[#All],3,FALSE),"")</f>
        <v/>
      </c>
      <c r="L37" s="28"/>
      <c r="M37" s="28"/>
      <c r="N37" s="30"/>
    </row>
    <row r="38" spans="1:14" s="2" customFormat="1" ht="15" thickBot="1" x14ac:dyDescent="0.35">
      <c r="A38" s="29"/>
      <c r="B38" s="30">
        <f t="shared" si="0"/>
        <v>1</v>
      </c>
      <c r="C38" s="28"/>
      <c r="D38" s="35" t="str">
        <f>IFERROR(VLOOKUP(C38,T_CÓDIGO[#All],4,FALSE),"")</f>
        <v/>
      </c>
      <c r="E38" s="30" t="str">
        <f>IFERROR(VLOOKUP(C38,T_CÓDIGO[#All],6,FALSE),"")</f>
        <v/>
      </c>
      <c r="F38" s="28"/>
      <c r="G38" s="30"/>
      <c r="H38" s="28"/>
      <c r="I38" s="30"/>
      <c r="J38" s="30"/>
      <c r="K38" s="30" t="str">
        <f>IFERROR(VLOOKUP(C38,T_CÓDIGO[#All],3,FALSE),"")</f>
        <v/>
      </c>
      <c r="L38" s="28"/>
      <c r="M38" s="28"/>
      <c r="N38" s="30"/>
    </row>
    <row r="39" spans="1:14" s="2" customFormat="1" ht="15" thickBot="1" x14ac:dyDescent="0.35">
      <c r="A39" s="29"/>
      <c r="B39" s="30">
        <f t="shared" si="0"/>
        <v>1</v>
      </c>
      <c r="C39" s="28"/>
      <c r="D39" s="35" t="str">
        <f>IFERROR(VLOOKUP(C39,T_CÓDIGO[#All],4,FALSE),"")</f>
        <v/>
      </c>
      <c r="E39" s="30" t="str">
        <f>IFERROR(VLOOKUP(C39,T_CÓDIGO[#All],6,FALSE),"")</f>
        <v/>
      </c>
      <c r="F39" s="28"/>
      <c r="G39" s="30"/>
      <c r="H39" s="28"/>
      <c r="I39" s="30"/>
      <c r="J39" s="30"/>
      <c r="K39" s="30" t="str">
        <f>IFERROR(VLOOKUP(C39,T_CÓDIGO[#All],3,FALSE),"")</f>
        <v/>
      </c>
      <c r="L39" s="28"/>
      <c r="M39" s="28"/>
      <c r="N39" s="30"/>
    </row>
    <row r="40" spans="1:14" s="2" customFormat="1" ht="15" thickBot="1" x14ac:dyDescent="0.35">
      <c r="A40" s="29"/>
      <c r="B40" s="30">
        <f t="shared" si="0"/>
        <v>1</v>
      </c>
      <c r="C40" s="28"/>
      <c r="D40" s="35" t="str">
        <f>IFERROR(VLOOKUP(C40,T_CÓDIGO[#All],4,FALSE),"")</f>
        <v/>
      </c>
      <c r="E40" s="30" t="str">
        <f>IFERROR(VLOOKUP(C40,T_CÓDIGO[#All],6,FALSE),"")</f>
        <v/>
      </c>
      <c r="F40" s="28"/>
      <c r="G40" s="30"/>
      <c r="H40" s="28"/>
      <c r="I40" s="30"/>
      <c r="J40" s="30"/>
      <c r="K40" s="30" t="str">
        <f>IFERROR(VLOOKUP(C40,T_CÓDIGO[#All],3,FALSE),"")</f>
        <v/>
      </c>
      <c r="L40" s="28"/>
      <c r="M40" s="28"/>
      <c r="N40" s="30"/>
    </row>
    <row r="41" spans="1:14" s="2" customFormat="1" ht="15" thickBot="1" x14ac:dyDescent="0.35">
      <c r="A41" s="29"/>
      <c r="B41" s="30">
        <f t="shared" si="0"/>
        <v>1</v>
      </c>
      <c r="C41" s="28"/>
      <c r="D41" s="35" t="str">
        <f>IFERROR(VLOOKUP(C41,T_CÓDIGO[#All],4,FALSE),"")</f>
        <v/>
      </c>
      <c r="E41" s="30" t="str">
        <f>IFERROR(VLOOKUP(C41,T_CÓDIGO[#All],6,FALSE),"")</f>
        <v/>
      </c>
      <c r="F41" s="28"/>
      <c r="G41" s="30"/>
      <c r="H41" s="28"/>
      <c r="I41" s="30"/>
      <c r="J41" s="30"/>
      <c r="K41" s="30" t="str">
        <f>IFERROR(VLOOKUP(C41,T_CÓDIGO[#All],3,FALSE),"")</f>
        <v/>
      </c>
      <c r="L41" s="28"/>
      <c r="M41" s="28"/>
      <c r="N41" s="30"/>
    </row>
    <row r="42" spans="1:14" s="2" customFormat="1" ht="15" thickBot="1" x14ac:dyDescent="0.35">
      <c r="A42" s="29"/>
      <c r="B42" s="30">
        <f t="shared" si="0"/>
        <v>1</v>
      </c>
      <c r="C42" s="28"/>
      <c r="D42" s="35" t="str">
        <f>IFERROR(VLOOKUP(C42,T_CÓDIGO[#All],4,FALSE),"")</f>
        <v/>
      </c>
      <c r="E42" s="30" t="str">
        <f>IFERROR(VLOOKUP(C42,T_CÓDIGO[#All],6,FALSE),"")</f>
        <v/>
      </c>
      <c r="F42" s="28"/>
      <c r="G42" s="30"/>
      <c r="H42" s="28"/>
      <c r="I42" s="30"/>
      <c r="J42" s="30"/>
      <c r="K42" s="30" t="str">
        <f>IFERROR(VLOOKUP(C42,T_CÓDIGO[#All],3,FALSE),"")</f>
        <v/>
      </c>
      <c r="L42" s="28"/>
      <c r="M42" s="28"/>
      <c r="N42" s="30"/>
    </row>
    <row r="43" spans="1:14" s="2" customFormat="1" ht="15" thickBot="1" x14ac:dyDescent="0.35">
      <c r="A43" s="29"/>
      <c r="B43" s="30">
        <f t="shared" si="0"/>
        <v>1</v>
      </c>
      <c r="C43" s="28"/>
      <c r="D43" s="35" t="str">
        <f>IFERROR(VLOOKUP(C43,T_CÓDIGO[#All],4,FALSE),"")</f>
        <v/>
      </c>
      <c r="E43" s="30" t="str">
        <f>IFERROR(VLOOKUP(C43,T_CÓDIGO[#All],6,FALSE),"")</f>
        <v/>
      </c>
      <c r="F43" s="28"/>
      <c r="G43" s="30"/>
      <c r="H43" s="28"/>
      <c r="I43" s="30"/>
      <c r="J43" s="30"/>
      <c r="K43" s="30" t="str">
        <f>IFERROR(VLOOKUP(C43,T_CÓDIGO[#All],3,FALSE),"")</f>
        <v/>
      </c>
      <c r="L43" s="28"/>
      <c r="M43" s="28"/>
      <c r="N43" s="30"/>
    </row>
    <row r="44" spans="1:14" s="2" customFormat="1" ht="15" customHeight="1" thickBot="1" x14ac:dyDescent="0.35">
      <c r="A44" s="29"/>
      <c r="B44" s="30">
        <f t="shared" si="0"/>
        <v>1</v>
      </c>
      <c r="C44" s="28"/>
      <c r="D44" s="35" t="str">
        <f>IFERROR(VLOOKUP(C44,T_CÓDIGO[#All],4,FALSE),"")</f>
        <v/>
      </c>
      <c r="E44" s="30" t="str">
        <f>IFERROR(VLOOKUP(C44,T_CÓDIGO[#All],6,FALSE),"")</f>
        <v/>
      </c>
      <c r="F44" s="28"/>
      <c r="G44" s="30"/>
      <c r="H44" s="28"/>
      <c r="I44" s="30"/>
      <c r="J44" s="30"/>
      <c r="K44" s="30" t="str">
        <f>IFERROR(VLOOKUP(C44,T_CÓDIGO[#All],3,FALSE),"")</f>
        <v/>
      </c>
      <c r="L44" s="28"/>
      <c r="M44" s="28"/>
      <c r="N44" s="30"/>
    </row>
    <row r="45" spans="1:14" s="2" customFormat="1" ht="15" customHeight="1" thickBot="1" x14ac:dyDescent="0.35">
      <c r="A45" s="29"/>
      <c r="B45" s="30">
        <f t="shared" si="0"/>
        <v>1</v>
      </c>
      <c r="C45" s="28"/>
      <c r="D45" s="35" t="str">
        <f>IFERROR(VLOOKUP(C45,T_CÓDIGO[#All],4,FALSE),"")</f>
        <v/>
      </c>
      <c r="E45" s="30" t="str">
        <f>IFERROR(VLOOKUP(C45,T_CÓDIGO[#All],6,FALSE),"")</f>
        <v/>
      </c>
      <c r="F45" s="28"/>
      <c r="G45" s="30"/>
      <c r="H45" s="28"/>
      <c r="I45" s="30"/>
      <c r="J45" s="30"/>
      <c r="K45" s="30" t="str">
        <f>IFERROR(VLOOKUP(C45,T_CÓDIGO[#All],3,FALSE),"")</f>
        <v/>
      </c>
      <c r="L45" s="28"/>
      <c r="M45" s="28"/>
      <c r="N45" s="30"/>
    </row>
    <row r="46" spans="1:14" s="2" customFormat="1" ht="15" customHeight="1" thickBot="1" x14ac:dyDescent="0.35">
      <c r="A46" s="29"/>
      <c r="B46" s="30">
        <f t="shared" si="0"/>
        <v>1</v>
      </c>
      <c r="C46" s="28"/>
      <c r="D46" s="35" t="str">
        <f>IFERROR(VLOOKUP(C46,T_CÓDIGO[#All],4,FALSE),"")</f>
        <v/>
      </c>
      <c r="E46" s="30" t="str">
        <f>IFERROR(VLOOKUP(C46,T_CÓDIGO[#All],6,FALSE),"")</f>
        <v/>
      </c>
      <c r="F46" s="28"/>
      <c r="G46" s="30"/>
      <c r="H46" s="28"/>
      <c r="I46" s="30"/>
      <c r="J46" s="30"/>
      <c r="K46" s="30" t="str">
        <f>IFERROR(VLOOKUP(C46,T_CÓDIGO[#All],3,FALSE),"")</f>
        <v/>
      </c>
      <c r="L46" s="28"/>
      <c r="M46" s="28"/>
      <c r="N46" s="30"/>
    </row>
    <row r="47" spans="1:14" s="2" customFormat="1" ht="15" thickBot="1" x14ac:dyDescent="0.35">
      <c r="A47" s="29"/>
      <c r="B47" s="30">
        <f t="shared" si="0"/>
        <v>1</v>
      </c>
      <c r="C47" s="28"/>
      <c r="D47" s="35" t="str">
        <f>IFERROR(VLOOKUP(C47,T_CÓDIGO[#All],4,FALSE),"")</f>
        <v/>
      </c>
      <c r="E47" s="30" t="str">
        <f>IFERROR(VLOOKUP(C47,T_CÓDIGO[#All],6,FALSE),"")</f>
        <v/>
      </c>
      <c r="F47" s="28"/>
      <c r="G47" s="30"/>
      <c r="H47" s="28"/>
      <c r="I47" s="30"/>
      <c r="J47" s="30"/>
      <c r="K47" s="30" t="str">
        <f>IFERROR(VLOOKUP(C47,T_CÓDIGO[#All],3,FALSE),"")</f>
        <v/>
      </c>
      <c r="L47" s="28"/>
      <c r="M47" s="28"/>
      <c r="N47" s="30"/>
    </row>
    <row r="48" spans="1:14" s="2" customFormat="1" ht="15" thickBot="1" x14ac:dyDescent="0.35">
      <c r="A48" s="29"/>
      <c r="B48" s="30">
        <f t="shared" si="0"/>
        <v>1</v>
      </c>
      <c r="C48" s="28"/>
      <c r="D48" s="35" t="str">
        <f>IFERROR(VLOOKUP(C48,T_CÓDIGO[#All],4,FALSE),"")</f>
        <v/>
      </c>
      <c r="E48" s="30" t="str">
        <f>IFERROR(VLOOKUP(C48,T_CÓDIGO[#All],6,FALSE),"")</f>
        <v/>
      </c>
      <c r="F48" s="28"/>
      <c r="G48" s="30"/>
      <c r="H48" s="28"/>
      <c r="I48" s="30"/>
      <c r="J48" s="30"/>
      <c r="K48" s="30" t="str">
        <f>IFERROR(VLOOKUP(C48,T_CÓDIGO[#All],3,FALSE),"")</f>
        <v/>
      </c>
      <c r="L48" s="28"/>
      <c r="M48" s="28"/>
      <c r="N48" s="30"/>
    </row>
    <row r="49" spans="1:14" s="2" customFormat="1" ht="15" thickBot="1" x14ac:dyDescent="0.35">
      <c r="A49" s="29"/>
      <c r="B49" s="30">
        <f t="shared" si="0"/>
        <v>1</v>
      </c>
      <c r="C49" s="28"/>
      <c r="D49" s="35" t="str">
        <f>IFERROR(VLOOKUP(C49,T_CÓDIGO[#All],4,FALSE),"")</f>
        <v/>
      </c>
      <c r="E49" s="30" t="str">
        <f>IFERROR(VLOOKUP(C49,T_CÓDIGO[#All],6,FALSE),"")</f>
        <v/>
      </c>
      <c r="F49" s="28"/>
      <c r="G49" s="30"/>
      <c r="H49" s="28"/>
      <c r="I49" s="30"/>
      <c r="J49" s="30"/>
      <c r="K49" s="30" t="str">
        <f>IFERROR(VLOOKUP(C49,T_CÓDIGO[#All],3,FALSE),"")</f>
        <v/>
      </c>
      <c r="L49" s="28"/>
      <c r="M49" s="28"/>
      <c r="N49" s="30"/>
    </row>
    <row r="50" spans="1:14" s="2" customFormat="1" ht="15" thickBot="1" x14ac:dyDescent="0.35">
      <c r="A50" s="29"/>
      <c r="B50" s="30">
        <f t="shared" si="0"/>
        <v>1</v>
      </c>
      <c r="C50" s="28"/>
      <c r="D50" s="35" t="str">
        <f>IFERROR(VLOOKUP(C50,T_CÓDIGO[#All],4,FALSE),"")</f>
        <v/>
      </c>
      <c r="E50" s="30" t="str">
        <f>IFERROR(VLOOKUP(C50,T_CÓDIGO[#All],6,FALSE),"")</f>
        <v/>
      </c>
      <c r="F50" s="28"/>
      <c r="G50" s="30"/>
      <c r="H50" s="28"/>
      <c r="I50" s="30"/>
      <c r="J50" s="30"/>
      <c r="K50" s="30" t="str">
        <f>IFERROR(VLOOKUP(C50,T_CÓDIGO[#All],3,FALSE),"")</f>
        <v/>
      </c>
      <c r="L50" s="28"/>
      <c r="M50" s="28"/>
      <c r="N50" s="30"/>
    </row>
    <row r="51" spans="1:14" s="2" customFormat="1" ht="15" thickBot="1" x14ac:dyDescent="0.35">
      <c r="A51" s="29"/>
      <c r="B51" s="30">
        <f t="shared" si="0"/>
        <v>1</v>
      </c>
      <c r="C51" s="28"/>
      <c r="D51" s="35" t="str">
        <f>IFERROR(VLOOKUP(C51,T_CÓDIGO[#All],4,FALSE),"")</f>
        <v/>
      </c>
      <c r="E51" s="30" t="str">
        <f>IFERROR(VLOOKUP(C51,T_CÓDIGO[#All],6,FALSE),"")</f>
        <v/>
      </c>
      <c r="F51" s="28"/>
      <c r="G51" s="30"/>
      <c r="H51" s="28"/>
      <c r="I51" s="30"/>
      <c r="J51" s="30"/>
      <c r="K51" s="30" t="str">
        <f>IFERROR(VLOOKUP(C51,T_CÓDIGO[#All],3,FALSE),"")</f>
        <v/>
      </c>
      <c r="L51" s="28"/>
      <c r="M51" s="28"/>
      <c r="N51" s="30"/>
    </row>
    <row r="52" spans="1:14" s="2" customFormat="1" ht="15" thickBot="1" x14ac:dyDescent="0.35">
      <c r="A52" s="29"/>
      <c r="B52" s="30">
        <f t="shared" si="0"/>
        <v>1</v>
      </c>
      <c r="C52" s="28"/>
      <c r="D52" s="35" t="str">
        <f>IFERROR(VLOOKUP(C52,T_CÓDIGO[#All],4,FALSE),"")</f>
        <v/>
      </c>
      <c r="E52" s="30" t="str">
        <f>IFERROR(VLOOKUP(C52,T_CÓDIGO[#All],6,FALSE),"")</f>
        <v/>
      </c>
      <c r="F52" s="28"/>
      <c r="G52" s="30"/>
      <c r="H52" s="28"/>
      <c r="I52" s="30"/>
      <c r="J52" s="30"/>
      <c r="K52" s="30" t="str">
        <f>IFERROR(VLOOKUP(C52,T_CÓDIGO[#All],3,FALSE),"")</f>
        <v/>
      </c>
      <c r="L52" s="28"/>
      <c r="M52" s="28"/>
      <c r="N52" s="30"/>
    </row>
    <row r="53" spans="1:14" s="2" customFormat="1" ht="15" thickBot="1" x14ac:dyDescent="0.35">
      <c r="A53" s="29"/>
      <c r="B53" s="30">
        <f t="shared" si="0"/>
        <v>1</v>
      </c>
      <c r="C53" s="28"/>
      <c r="D53" s="35" t="str">
        <f>IFERROR(VLOOKUP(C53,T_CÓDIGO[#All],4,FALSE),"")</f>
        <v/>
      </c>
      <c r="E53" s="30" t="str">
        <f>IFERROR(VLOOKUP(C53,T_CÓDIGO[#All],6,FALSE),"")</f>
        <v/>
      </c>
      <c r="F53" s="28"/>
      <c r="G53" s="30"/>
      <c r="H53" s="28"/>
      <c r="I53" s="30"/>
      <c r="J53" s="30"/>
      <c r="K53" s="30" t="str">
        <f>IFERROR(VLOOKUP(C53,T_CÓDIGO[#All],3,FALSE),"")</f>
        <v/>
      </c>
      <c r="L53" s="28"/>
      <c r="M53" s="28"/>
      <c r="N53" s="30"/>
    </row>
    <row r="54" spans="1:14" s="2" customFormat="1" ht="15" thickBot="1" x14ac:dyDescent="0.35">
      <c r="A54" s="29"/>
      <c r="B54" s="30">
        <f t="shared" si="0"/>
        <v>1</v>
      </c>
      <c r="C54" s="28"/>
      <c r="D54" s="35" t="str">
        <f>IFERROR(VLOOKUP(C54,T_CÓDIGO[#All],4,FALSE),"")</f>
        <v/>
      </c>
      <c r="E54" s="30" t="str">
        <f>IFERROR(VLOOKUP(C54,T_CÓDIGO[#All],6,FALSE),"")</f>
        <v/>
      </c>
      <c r="F54" s="28"/>
      <c r="G54" s="30"/>
      <c r="H54" s="28"/>
      <c r="I54" s="30"/>
      <c r="J54" s="30"/>
      <c r="K54" s="30" t="str">
        <f>IFERROR(VLOOKUP(C54,T_CÓDIGO[#All],3,FALSE),"")</f>
        <v/>
      </c>
      <c r="L54" s="28"/>
      <c r="M54" s="28"/>
      <c r="N54" s="30"/>
    </row>
    <row r="55" spans="1:14" s="2" customFormat="1" ht="15" thickBot="1" x14ac:dyDescent="0.35">
      <c r="A55" s="29"/>
      <c r="B55" s="30">
        <f t="shared" si="0"/>
        <v>1</v>
      </c>
      <c r="C55" s="28"/>
      <c r="D55" s="35" t="str">
        <f>IFERROR(VLOOKUP(C55,T_CÓDIGO[#All],4,FALSE),"")</f>
        <v/>
      </c>
      <c r="E55" s="30" t="str">
        <f>IFERROR(VLOOKUP(C55,T_CÓDIGO[#All],6,FALSE),"")</f>
        <v/>
      </c>
      <c r="F55" s="28"/>
      <c r="G55" s="30"/>
      <c r="H55" s="28"/>
      <c r="I55" s="30"/>
      <c r="J55" s="30"/>
      <c r="K55" s="30" t="str">
        <f>IFERROR(VLOOKUP(C55,T_CÓDIGO[#All],3,FALSE),"")</f>
        <v/>
      </c>
      <c r="L55" s="28"/>
      <c r="M55" s="28"/>
      <c r="N55" s="30"/>
    </row>
    <row r="56" spans="1:14" s="2" customFormat="1" ht="15" thickBot="1" x14ac:dyDescent="0.35">
      <c r="A56" s="29"/>
      <c r="B56" s="30">
        <f t="shared" si="0"/>
        <v>1</v>
      </c>
      <c r="C56" s="28"/>
      <c r="D56" s="35" t="str">
        <f>IFERROR(VLOOKUP(C56,T_CÓDIGO[#All],4,FALSE),"")</f>
        <v/>
      </c>
      <c r="E56" s="30" t="str">
        <f>IFERROR(VLOOKUP(C56,T_CÓDIGO[#All],6,FALSE),"")</f>
        <v/>
      </c>
      <c r="F56" s="28"/>
      <c r="G56" s="30"/>
      <c r="H56" s="28"/>
      <c r="I56" s="30"/>
      <c r="J56" s="30"/>
      <c r="K56" s="30" t="str">
        <f>IFERROR(VLOOKUP(C56,T_CÓDIGO[#All],3,FALSE),"")</f>
        <v/>
      </c>
      <c r="L56" s="28"/>
      <c r="M56" s="28"/>
      <c r="N56" s="30"/>
    </row>
    <row r="57" spans="1:14" s="2" customFormat="1" ht="15" thickBot="1" x14ac:dyDescent="0.35">
      <c r="A57" s="29"/>
      <c r="B57" s="30">
        <f t="shared" si="0"/>
        <v>1</v>
      </c>
      <c r="C57" s="28"/>
      <c r="D57" s="35" t="str">
        <f>IFERROR(VLOOKUP(C57,T_CÓDIGO[#All],4,FALSE),"")</f>
        <v/>
      </c>
      <c r="E57" s="30" t="str">
        <f>IFERROR(VLOOKUP(C57,T_CÓDIGO[#All],6,FALSE),"")</f>
        <v/>
      </c>
      <c r="F57" s="28"/>
      <c r="G57" s="30"/>
      <c r="H57" s="28"/>
      <c r="I57" s="30"/>
      <c r="J57" s="30"/>
      <c r="K57" s="30" t="str">
        <f>IFERROR(VLOOKUP(C57,T_CÓDIGO[#All],3,FALSE),"")</f>
        <v/>
      </c>
      <c r="L57" s="28"/>
      <c r="M57" s="28"/>
      <c r="N57" s="30"/>
    </row>
    <row r="58" spans="1:14" s="2" customFormat="1" ht="15" thickBot="1" x14ac:dyDescent="0.35">
      <c r="A58" s="29"/>
      <c r="B58" s="30">
        <f t="shared" si="0"/>
        <v>1</v>
      </c>
      <c r="C58" s="28"/>
      <c r="D58" s="35" t="str">
        <f>IFERROR(VLOOKUP(C58,T_CÓDIGO[#All],4,FALSE),"")</f>
        <v/>
      </c>
      <c r="E58" s="30" t="str">
        <f>IFERROR(VLOOKUP(C58,T_CÓDIGO[#All],6,FALSE),"")</f>
        <v/>
      </c>
      <c r="F58" s="28"/>
      <c r="G58" s="30"/>
      <c r="H58" s="28"/>
      <c r="I58" s="30"/>
      <c r="J58" s="30"/>
      <c r="K58" s="30" t="str">
        <f>IFERROR(VLOOKUP(C58,T_CÓDIGO[#All],3,FALSE),"")</f>
        <v/>
      </c>
      <c r="L58" s="28"/>
      <c r="M58" s="28"/>
      <c r="N58" s="30"/>
    </row>
    <row r="59" spans="1:14" s="2" customFormat="1" ht="15" thickBot="1" x14ac:dyDescent="0.35">
      <c r="A59" s="29"/>
      <c r="B59" s="30">
        <f t="shared" si="0"/>
        <v>1</v>
      </c>
      <c r="C59" s="28"/>
      <c r="D59" s="35" t="str">
        <f>IFERROR(VLOOKUP(C59,T_CÓDIGO[#All],4,FALSE),"")</f>
        <v/>
      </c>
      <c r="E59" s="30" t="str">
        <f>IFERROR(VLOOKUP(C59,T_CÓDIGO[#All],6,FALSE),"")</f>
        <v/>
      </c>
      <c r="F59" s="28"/>
      <c r="G59" s="30"/>
      <c r="H59" s="28"/>
      <c r="I59" s="30"/>
      <c r="J59" s="30"/>
      <c r="K59" s="30" t="str">
        <f>IFERROR(VLOOKUP(C59,T_CÓDIGO[#All],3,FALSE),"")</f>
        <v/>
      </c>
      <c r="L59" s="28"/>
      <c r="M59" s="28"/>
      <c r="N59" s="30"/>
    </row>
    <row r="60" spans="1:14" s="2" customFormat="1" ht="15" thickBot="1" x14ac:dyDescent="0.35">
      <c r="A60" s="29"/>
      <c r="B60" s="30">
        <f t="shared" si="0"/>
        <v>1</v>
      </c>
      <c r="C60" s="28"/>
      <c r="D60" s="35" t="str">
        <f>IFERROR(VLOOKUP(C60,T_CÓDIGO[#All],4,FALSE),"")</f>
        <v/>
      </c>
      <c r="E60" s="30" t="str">
        <f>IFERROR(VLOOKUP(C60,T_CÓDIGO[#All],6,FALSE),"")</f>
        <v/>
      </c>
      <c r="F60" s="28"/>
      <c r="G60" s="30"/>
      <c r="H60" s="28"/>
      <c r="I60" s="30"/>
      <c r="J60" s="30"/>
      <c r="K60" s="30" t="str">
        <f>IFERROR(VLOOKUP(C60,T_CÓDIGO[#All],3,FALSE),"")</f>
        <v/>
      </c>
      <c r="L60" s="28"/>
      <c r="M60" s="28"/>
      <c r="N60" s="30"/>
    </row>
    <row r="61" spans="1:14" s="2" customFormat="1" ht="15" thickBot="1" x14ac:dyDescent="0.35">
      <c r="A61" s="29"/>
      <c r="B61" s="30">
        <f t="shared" si="0"/>
        <v>1</v>
      </c>
      <c r="C61" s="28"/>
      <c r="D61" s="35" t="str">
        <f>IFERROR(VLOOKUP(C61,T_CÓDIGO[#All],4,FALSE),"")</f>
        <v/>
      </c>
      <c r="E61" s="30" t="str">
        <f>IFERROR(VLOOKUP(C61,T_CÓDIGO[#All],6,FALSE),"")</f>
        <v/>
      </c>
      <c r="F61" s="28"/>
      <c r="G61" s="30"/>
      <c r="H61" s="28"/>
      <c r="I61" s="30"/>
      <c r="J61" s="30"/>
      <c r="K61" s="30" t="str">
        <f>IFERROR(VLOOKUP(C61,T_CÓDIGO[#All],3,FALSE),"")</f>
        <v/>
      </c>
      <c r="L61" s="28"/>
      <c r="M61" s="28"/>
      <c r="N61" s="30"/>
    </row>
    <row r="62" spans="1:14" s="2" customFormat="1" ht="15" thickBot="1" x14ac:dyDescent="0.35">
      <c r="A62" s="29"/>
      <c r="B62" s="30">
        <f t="shared" si="0"/>
        <v>1</v>
      </c>
      <c r="C62" s="28"/>
      <c r="D62" s="35" t="str">
        <f>IFERROR(VLOOKUP(C62,T_CÓDIGO[#All],4,FALSE),"")</f>
        <v/>
      </c>
      <c r="E62" s="30" t="str">
        <f>IFERROR(VLOOKUP(C62,T_CÓDIGO[#All],6,FALSE),"")</f>
        <v/>
      </c>
      <c r="F62" s="28"/>
      <c r="G62" s="30"/>
      <c r="H62" s="28"/>
      <c r="I62" s="30"/>
      <c r="J62" s="30"/>
      <c r="K62" s="30" t="str">
        <f>IFERROR(VLOOKUP(C62,T_CÓDIGO[#All],3,FALSE),"")</f>
        <v/>
      </c>
      <c r="L62" s="28"/>
      <c r="M62" s="28"/>
      <c r="N62" s="30"/>
    </row>
    <row r="63" spans="1:14" s="2" customFormat="1" ht="15" thickBot="1" x14ac:dyDescent="0.35">
      <c r="A63" s="29"/>
      <c r="B63" s="30">
        <f t="shared" si="0"/>
        <v>1</v>
      </c>
      <c r="C63" s="28"/>
      <c r="D63" s="35" t="str">
        <f>IFERROR(VLOOKUP(C63,T_CÓDIGO[#All],4,FALSE),"")</f>
        <v/>
      </c>
      <c r="E63" s="30" t="str">
        <f>IFERROR(VLOOKUP(C63,T_CÓDIGO[#All],6,FALSE),"")</f>
        <v/>
      </c>
      <c r="F63" s="28"/>
      <c r="G63" s="30"/>
      <c r="H63" s="28"/>
      <c r="I63" s="30"/>
      <c r="J63" s="30"/>
      <c r="K63" s="30" t="str">
        <f>IFERROR(VLOOKUP(C63,T_CÓDIGO[#All],3,FALSE),"")</f>
        <v/>
      </c>
      <c r="L63" s="28"/>
      <c r="M63" s="28"/>
      <c r="N63" s="30"/>
    </row>
    <row r="64" spans="1:14" s="2" customFormat="1" ht="15" thickBot="1" x14ac:dyDescent="0.35">
      <c r="A64" s="29"/>
      <c r="B64" s="30">
        <f t="shared" si="0"/>
        <v>1</v>
      </c>
      <c r="C64" s="28"/>
      <c r="D64" s="35" t="str">
        <f>IFERROR(VLOOKUP(C64,T_CÓDIGO[#All],4,FALSE),"")</f>
        <v/>
      </c>
      <c r="E64" s="30" t="str">
        <f>IFERROR(VLOOKUP(C64,T_CÓDIGO[#All],6,FALSE),"")</f>
        <v/>
      </c>
      <c r="F64" s="28"/>
      <c r="G64" s="30"/>
      <c r="H64" s="28"/>
      <c r="I64" s="30"/>
      <c r="J64" s="30"/>
      <c r="K64" s="30" t="str">
        <f>IFERROR(VLOOKUP(C64,T_CÓDIGO[#All],3,FALSE),"")</f>
        <v/>
      </c>
      <c r="L64" s="28"/>
      <c r="M64" s="28"/>
      <c r="N64" s="30"/>
    </row>
    <row r="65" spans="1:14" s="2" customFormat="1" ht="15" thickBot="1" x14ac:dyDescent="0.35">
      <c r="A65" s="29"/>
      <c r="B65" s="30">
        <f t="shared" si="0"/>
        <v>1</v>
      </c>
      <c r="C65" s="28"/>
      <c r="D65" s="35" t="str">
        <f>IFERROR(VLOOKUP(C65,T_CÓDIGO[#All],4,FALSE),"")</f>
        <v/>
      </c>
      <c r="E65" s="30" t="str">
        <f>IFERROR(VLOOKUP(C65,T_CÓDIGO[#All],6,FALSE),"")</f>
        <v/>
      </c>
      <c r="F65" s="28"/>
      <c r="G65" s="30"/>
      <c r="H65" s="28"/>
      <c r="I65" s="30"/>
      <c r="J65" s="30"/>
      <c r="K65" s="30" t="str">
        <f>IFERROR(VLOOKUP(C65,T_CÓDIGO[#All],3,FALSE),"")</f>
        <v/>
      </c>
      <c r="L65" s="28"/>
      <c r="M65" s="28"/>
      <c r="N65" s="30"/>
    </row>
    <row r="66" spans="1:14" s="2" customFormat="1" ht="15" thickBot="1" x14ac:dyDescent="0.35">
      <c r="A66" s="29"/>
      <c r="B66" s="30">
        <f t="shared" si="0"/>
        <v>1</v>
      </c>
      <c r="C66" s="28"/>
      <c r="D66" s="35" t="str">
        <f>IFERROR(VLOOKUP(C66,T_CÓDIGO[#All],4,FALSE),"")</f>
        <v/>
      </c>
      <c r="E66" s="30" t="str">
        <f>IFERROR(VLOOKUP(C66,T_CÓDIGO[#All],6,FALSE),"")</f>
        <v/>
      </c>
      <c r="F66" s="28"/>
      <c r="G66" s="30"/>
      <c r="H66" s="28"/>
      <c r="I66" s="30"/>
      <c r="J66" s="30"/>
      <c r="K66" s="30" t="str">
        <f>IFERROR(VLOOKUP(C66,T_CÓDIGO[#All],3,FALSE),"")</f>
        <v/>
      </c>
      <c r="L66" s="28"/>
      <c r="M66" s="28"/>
      <c r="N66" s="30"/>
    </row>
    <row r="67" spans="1:14" s="2" customFormat="1" ht="15" thickBot="1" x14ac:dyDescent="0.35">
      <c r="A67" s="29"/>
      <c r="B67" s="30">
        <f t="shared" si="0"/>
        <v>1</v>
      </c>
      <c r="C67" s="28"/>
      <c r="D67" s="35" t="str">
        <f>IFERROR(VLOOKUP(C67,T_CÓDIGO[#All],4,FALSE),"")</f>
        <v/>
      </c>
      <c r="E67" s="30" t="str">
        <f>IFERROR(VLOOKUP(C67,T_CÓDIGO[#All],6,FALSE),"")</f>
        <v/>
      </c>
      <c r="F67" s="28"/>
      <c r="G67" s="30"/>
      <c r="H67" s="28"/>
      <c r="I67" s="30"/>
      <c r="J67" s="30"/>
      <c r="K67" s="30" t="str">
        <f>IFERROR(VLOOKUP(C67,T_CÓDIGO[#All],3,FALSE),"")</f>
        <v/>
      </c>
      <c r="L67" s="28"/>
      <c r="M67" s="28"/>
      <c r="N67" s="30"/>
    </row>
    <row r="68" spans="1:14" s="2" customFormat="1" ht="15" thickBot="1" x14ac:dyDescent="0.35">
      <c r="A68" s="29"/>
      <c r="B68" s="30">
        <f t="shared" si="0"/>
        <v>1</v>
      </c>
      <c r="C68" s="28"/>
      <c r="D68" s="35" t="str">
        <f>IFERROR(VLOOKUP(C68,T_CÓDIGO[#All],4,FALSE),"")</f>
        <v/>
      </c>
      <c r="E68" s="30" t="str">
        <f>IFERROR(VLOOKUP(C68,T_CÓDIGO[#All],6,FALSE),"")</f>
        <v/>
      </c>
      <c r="F68" s="28"/>
      <c r="G68" s="30"/>
      <c r="H68" s="28"/>
      <c r="I68" s="30"/>
      <c r="J68" s="30"/>
      <c r="K68" s="30" t="str">
        <f>IFERROR(VLOOKUP(C68,T_CÓDIGO[#All],3,FALSE),"")</f>
        <v/>
      </c>
      <c r="L68" s="28"/>
      <c r="M68" s="28"/>
      <c r="N68" s="30"/>
    </row>
    <row r="69" spans="1:14" s="2" customFormat="1" ht="15" thickBot="1" x14ac:dyDescent="0.35">
      <c r="A69" s="29"/>
      <c r="B69" s="30">
        <f t="shared" si="0"/>
        <v>1</v>
      </c>
      <c r="C69" s="28"/>
      <c r="D69" s="35" t="str">
        <f>IFERROR(VLOOKUP(C69,T_CÓDIGO[#All],4,FALSE),"")</f>
        <v/>
      </c>
      <c r="E69" s="30" t="str">
        <f>IFERROR(VLOOKUP(C69,T_CÓDIGO[#All],6,FALSE),"")</f>
        <v/>
      </c>
      <c r="F69" s="28"/>
      <c r="G69" s="30"/>
      <c r="H69" s="28"/>
      <c r="I69" s="30"/>
      <c r="J69" s="30"/>
      <c r="K69" s="30" t="str">
        <f>IFERROR(VLOOKUP(C69,T_CÓDIGO[#All],3,FALSE),"")</f>
        <v/>
      </c>
      <c r="L69" s="28"/>
      <c r="M69" s="28"/>
      <c r="N69" s="30"/>
    </row>
    <row r="70" spans="1:14" s="2" customFormat="1" ht="15" thickBot="1" x14ac:dyDescent="0.35">
      <c r="A70" s="29"/>
      <c r="B70" s="30">
        <f t="shared" si="0"/>
        <v>1</v>
      </c>
      <c r="C70" s="28"/>
      <c r="D70" s="35" t="str">
        <f>IFERROR(VLOOKUP(C70,T_CÓDIGO[#All],4,FALSE),"")</f>
        <v/>
      </c>
      <c r="E70" s="30" t="str">
        <f>IFERROR(VLOOKUP(C70,T_CÓDIGO[#All],6,FALSE),"")</f>
        <v/>
      </c>
      <c r="F70" s="28"/>
      <c r="G70" s="30"/>
      <c r="H70" s="28"/>
      <c r="I70" s="30"/>
      <c r="J70" s="30"/>
      <c r="K70" s="30" t="str">
        <f>IFERROR(VLOOKUP(C70,T_CÓDIGO[#All],3,FALSE),"")</f>
        <v/>
      </c>
      <c r="L70" s="28"/>
      <c r="M70" s="28"/>
      <c r="N70" s="30"/>
    </row>
    <row r="71" spans="1:14" s="2" customFormat="1" ht="15" thickBot="1" x14ac:dyDescent="0.35">
      <c r="A71" s="29"/>
      <c r="B71" s="30">
        <f t="shared" si="0"/>
        <v>1</v>
      </c>
      <c r="C71" s="28"/>
      <c r="D71" s="35" t="str">
        <f>IFERROR(VLOOKUP(C71,T_CÓDIGO[#All],4,FALSE),"")</f>
        <v/>
      </c>
      <c r="E71" s="30" t="str">
        <f>IFERROR(VLOOKUP(C71,T_CÓDIGO[#All],6,FALSE),"")</f>
        <v/>
      </c>
      <c r="F71" s="28"/>
      <c r="G71" s="30"/>
      <c r="H71" s="28"/>
      <c r="I71" s="30"/>
      <c r="J71" s="30"/>
      <c r="K71" s="30" t="str">
        <f>IFERROR(VLOOKUP(C71,T_CÓDIGO[#All],3,FALSE),"")</f>
        <v/>
      </c>
      <c r="L71" s="28"/>
      <c r="M71" s="28"/>
      <c r="N71" s="30"/>
    </row>
    <row r="72" spans="1:14" s="2" customFormat="1" ht="15" thickBot="1" x14ac:dyDescent="0.35">
      <c r="A72" s="29"/>
      <c r="B72" s="30">
        <f t="shared" si="0"/>
        <v>1</v>
      </c>
      <c r="C72" s="28"/>
      <c r="D72" s="35" t="str">
        <f>IFERROR(VLOOKUP(C72,T_CÓDIGO[#All],4,FALSE),"")</f>
        <v/>
      </c>
      <c r="E72" s="30" t="str">
        <f>IFERROR(VLOOKUP(C72,T_CÓDIGO[#All],6,FALSE),"")</f>
        <v/>
      </c>
      <c r="F72" s="28"/>
      <c r="G72" s="30"/>
      <c r="H72" s="28"/>
      <c r="I72" s="30"/>
      <c r="J72" s="30"/>
      <c r="K72" s="30" t="str">
        <f>IFERROR(VLOOKUP(C72,T_CÓDIGO[#All],3,FALSE),"")</f>
        <v/>
      </c>
      <c r="L72" s="28"/>
      <c r="M72" s="28"/>
      <c r="N72" s="30"/>
    </row>
    <row r="73" spans="1:14" s="2" customFormat="1" ht="15" thickBot="1" x14ac:dyDescent="0.35">
      <c r="A73" s="29"/>
      <c r="B73" s="30">
        <f t="shared" si="0"/>
        <v>1</v>
      </c>
      <c r="C73" s="28"/>
      <c r="D73" s="35" t="str">
        <f>IFERROR(VLOOKUP(C73,T_CÓDIGO[#All],4,FALSE),"")</f>
        <v/>
      </c>
      <c r="E73" s="30" t="str">
        <f>IFERROR(VLOOKUP(C73,T_CÓDIGO[#All],6,FALSE),"")</f>
        <v/>
      </c>
      <c r="F73" s="28"/>
      <c r="G73" s="30"/>
      <c r="H73" s="28"/>
      <c r="I73" s="30"/>
      <c r="J73" s="30"/>
      <c r="K73" s="30" t="str">
        <f>IFERROR(VLOOKUP(C73,T_CÓDIGO[#All],3,FALSE),"")</f>
        <v/>
      </c>
      <c r="L73" s="28"/>
      <c r="M73" s="28"/>
      <c r="N73" s="30"/>
    </row>
    <row r="74" spans="1:14" s="2" customFormat="1" ht="15" thickBot="1" x14ac:dyDescent="0.35">
      <c r="A74" s="29"/>
      <c r="B74" s="30">
        <f t="shared" ref="B74:B137" si="1">MONTH(A74)</f>
        <v>1</v>
      </c>
      <c r="C74" s="28"/>
      <c r="D74" s="35" t="str">
        <f>IFERROR(VLOOKUP(C74,T_CÓDIGO[#All],4,FALSE),"")</f>
        <v/>
      </c>
      <c r="E74" s="30" t="str">
        <f>IFERROR(VLOOKUP(C74,T_CÓDIGO[#All],6,FALSE),"")</f>
        <v/>
      </c>
      <c r="F74" s="28"/>
      <c r="G74" s="30"/>
      <c r="H74" s="28"/>
      <c r="I74" s="30"/>
      <c r="J74" s="30"/>
      <c r="K74" s="30" t="str">
        <f>IFERROR(VLOOKUP(C74,T_CÓDIGO[#All],3,FALSE),"")</f>
        <v/>
      </c>
      <c r="L74" s="28"/>
      <c r="M74" s="28"/>
      <c r="N74" s="30"/>
    </row>
    <row r="75" spans="1:14" s="2" customFormat="1" ht="15" thickBot="1" x14ac:dyDescent="0.35">
      <c r="A75" s="29"/>
      <c r="B75" s="30">
        <f t="shared" si="1"/>
        <v>1</v>
      </c>
      <c r="C75" s="28"/>
      <c r="D75" s="35" t="str">
        <f>IFERROR(VLOOKUP(C75,T_CÓDIGO[#All],4,FALSE),"")</f>
        <v/>
      </c>
      <c r="E75" s="30" t="str">
        <f>IFERROR(VLOOKUP(C75,T_CÓDIGO[#All],6,FALSE),"")</f>
        <v/>
      </c>
      <c r="F75" s="28"/>
      <c r="G75" s="30"/>
      <c r="H75" s="28"/>
      <c r="I75" s="30"/>
      <c r="J75" s="30"/>
      <c r="K75" s="30" t="str">
        <f>IFERROR(VLOOKUP(C75,T_CÓDIGO[#All],3,FALSE),"")</f>
        <v/>
      </c>
      <c r="L75" s="28"/>
      <c r="M75" s="28"/>
      <c r="N75" s="30"/>
    </row>
    <row r="76" spans="1:14" s="2" customFormat="1" ht="15" thickBot="1" x14ac:dyDescent="0.35">
      <c r="A76" s="29"/>
      <c r="B76" s="30">
        <f t="shared" si="1"/>
        <v>1</v>
      </c>
      <c r="C76" s="28"/>
      <c r="D76" s="35" t="str">
        <f>IFERROR(VLOOKUP(C76,T_CÓDIGO[#All],4,FALSE),"")</f>
        <v/>
      </c>
      <c r="E76" s="30" t="str">
        <f>IFERROR(VLOOKUP(C76,T_CÓDIGO[#All],6,FALSE),"")</f>
        <v/>
      </c>
      <c r="F76" s="28"/>
      <c r="G76" s="30"/>
      <c r="H76" s="28"/>
      <c r="I76" s="30"/>
      <c r="J76" s="30"/>
      <c r="K76" s="30" t="str">
        <f>IFERROR(VLOOKUP(C76,T_CÓDIGO[#All],3,FALSE),"")</f>
        <v/>
      </c>
      <c r="L76" s="28"/>
      <c r="M76" s="28"/>
      <c r="N76" s="30"/>
    </row>
    <row r="77" spans="1:14" s="2" customFormat="1" ht="15" thickBot="1" x14ac:dyDescent="0.35">
      <c r="A77" s="29"/>
      <c r="B77" s="30">
        <f t="shared" si="1"/>
        <v>1</v>
      </c>
      <c r="C77" s="28"/>
      <c r="D77" s="35" t="str">
        <f>IFERROR(VLOOKUP(C77,T_CÓDIGO[#All],4,FALSE),"")</f>
        <v/>
      </c>
      <c r="E77" s="30" t="str">
        <f>IFERROR(VLOOKUP(C77,T_CÓDIGO[#All],6,FALSE),"")</f>
        <v/>
      </c>
      <c r="F77" s="28"/>
      <c r="G77" s="30"/>
      <c r="H77" s="28"/>
      <c r="I77" s="30"/>
      <c r="J77" s="30"/>
      <c r="K77" s="30" t="str">
        <f>IFERROR(VLOOKUP(C77,T_CÓDIGO[#All],3,FALSE),"")</f>
        <v/>
      </c>
      <c r="L77" s="28"/>
      <c r="M77" s="28"/>
      <c r="N77" s="30"/>
    </row>
    <row r="78" spans="1:14" s="2" customFormat="1" ht="15" thickBot="1" x14ac:dyDescent="0.35">
      <c r="A78" s="29"/>
      <c r="B78" s="30">
        <f t="shared" si="1"/>
        <v>1</v>
      </c>
      <c r="C78" s="28"/>
      <c r="D78" s="35" t="str">
        <f>IFERROR(VLOOKUP(C78,T_CÓDIGO[#All],4,FALSE),"")</f>
        <v/>
      </c>
      <c r="E78" s="30" t="str">
        <f>IFERROR(VLOOKUP(C78,T_CÓDIGO[#All],6,FALSE),"")</f>
        <v/>
      </c>
      <c r="F78" s="28"/>
      <c r="G78" s="30"/>
      <c r="H78" s="28"/>
      <c r="I78" s="30"/>
      <c r="J78" s="30"/>
      <c r="K78" s="30" t="str">
        <f>IFERROR(VLOOKUP(C78,T_CÓDIGO[#All],3,FALSE),"")</f>
        <v/>
      </c>
      <c r="L78" s="28"/>
      <c r="M78" s="28"/>
      <c r="N78" s="30"/>
    </row>
    <row r="79" spans="1:14" s="2" customFormat="1" ht="15" thickBot="1" x14ac:dyDescent="0.35">
      <c r="A79" s="29"/>
      <c r="B79" s="30">
        <f t="shared" si="1"/>
        <v>1</v>
      </c>
      <c r="C79" s="28"/>
      <c r="D79" s="35" t="str">
        <f>IFERROR(VLOOKUP(C79,T_CÓDIGO[#All],4,FALSE),"")</f>
        <v/>
      </c>
      <c r="E79" s="30" t="str">
        <f>IFERROR(VLOOKUP(C79,T_CÓDIGO[#All],6,FALSE),"")</f>
        <v/>
      </c>
      <c r="F79" s="28"/>
      <c r="G79" s="30"/>
      <c r="H79" s="28"/>
      <c r="I79" s="30"/>
      <c r="J79" s="30"/>
      <c r="K79" s="30" t="str">
        <f>IFERROR(VLOOKUP(C79,T_CÓDIGO[#All],3,FALSE),"")</f>
        <v/>
      </c>
      <c r="L79" s="28"/>
      <c r="M79" s="28"/>
      <c r="N79" s="30"/>
    </row>
    <row r="80" spans="1:14" s="2" customFormat="1" ht="15" thickBot="1" x14ac:dyDescent="0.35">
      <c r="A80" s="29"/>
      <c r="B80" s="30">
        <f t="shared" si="1"/>
        <v>1</v>
      </c>
      <c r="C80" s="28"/>
      <c r="D80" s="35" t="str">
        <f>IFERROR(VLOOKUP(C80,T_CÓDIGO[#All],4,FALSE),"")</f>
        <v/>
      </c>
      <c r="E80" s="30" t="str">
        <f>IFERROR(VLOOKUP(C80,T_CÓDIGO[#All],6,FALSE),"")</f>
        <v/>
      </c>
      <c r="F80" s="28"/>
      <c r="G80" s="30"/>
      <c r="H80" s="28"/>
      <c r="I80" s="30"/>
      <c r="J80" s="30"/>
      <c r="K80" s="30" t="str">
        <f>IFERROR(VLOOKUP(C80,T_CÓDIGO[#All],3,FALSE),"")</f>
        <v/>
      </c>
      <c r="L80" s="28"/>
      <c r="M80" s="28"/>
      <c r="N80" s="30"/>
    </row>
    <row r="81" spans="1:14" s="2" customFormat="1" ht="15" thickBot="1" x14ac:dyDescent="0.35">
      <c r="A81" s="29"/>
      <c r="B81" s="30">
        <f t="shared" si="1"/>
        <v>1</v>
      </c>
      <c r="C81" s="28"/>
      <c r="D81" s="35" t="str">
        <f>IFERROR(VLOOKUP(C81,T_CÓDIGO[#All],4,FALSE),"")</f>
        <v/>
      </c>
      <c r="E81" s="30" t="str">
        <f>IFERROR(VLOOKUP(C81,T_CÓDIGO[#All],6,FALSE),"")</f>
        <v/>
      </c>
      <c r="F81" s="28"/>
      <c r="G81" s="30"/>
      <c r="H81" s="28"/>
      <c r="I81" s="30"/>
      <c r="J81" s="30"/>
      <c r="K81" s="30" t="str">
        <f>IFERROR(VLOOKUP(C81,T_CÓDIGO[#All],3,FALSE),"")</f>
        <v/>
      </c>
      <c r="L81" s="28"/>
      <c r="M81" s="28"/>
      <c r="N81" s="30"/>
    </row>
    <row r="82" spans="1:14" s="2" customFormat="1" ht="15" thickBot="1" x14ac:dyDescent="0.35">
      <c r="A82" s="29"/>
      <c r="B82" s="30">
        <f t="shared" si="1"/>
        <v>1</v>
      </c>
      <c r="C82" s="28"/>
      <c r="D82" s="35" t="str">
        <f>IFERROR(VLOOKUP(C82,T_CÓDIGO[#All],4,FALSE),"")</f>
        <v/>
      </c>
      <c r="E82" s="30" t="str">
        <f>IFERROR(VLOOKUP(C82,T_CÓDIGO[#All],6,FALSE),"")</f>
        <v/>
      </c>
      <c r="F82" s="28"/>
      <c r="G82" s="30"/>
      <c r="H82" s="28"/>
      <c r="I82" s="30"/>
      <c r="J82" s="30"/>
      <c r="K82" s="30" t="str">
        <f>IFERROR(VLOOKUP(C82,T_CÓDIGO[#All],3,FALSE),"")</f>
        <v/>
      </c>
      <c r="L82" s="28"/>
      <c r="M82" s="28"/>
      <c r="N82" s="30"/>
    </row>
    <row r="83" spans="1:14" s="2" customFormat="1" ht="15" thickBot="1" x14ac:dyDescent="0.35">
      <c r="A83" s="29"/>
      <c r="B83" s="30">
        <f t="shared" si="1"/>
        <v>1</v>
      </c>
      <c r="C83" s="28"/>
      <c r="D83" s="35" t="str">
        <f>IFERROR(VLOOKUP(C83,T_CÓDIGO[#All],4,FALSE),"")</f>
        <v/>
      </c>
      <c r="E83" s="30" t="str">
        <f>IFERROR(VLOOKUP(C83,T_CÓDIGO[#All],6,FALSE),"")</f>
        <v/>
      </c>
      <c r="F83" s="28"/>
      <c r="G83" s="30"/>
      <c r="H83" s="28"/>
      <c r="I83" s="30"/>
      <c r="J83" s="30"/>
      <c r="K83" s="30" t="str">
        <f>IFERROR(VLOOKUP(C83,T_CÓDIGO[#All],3,FALSE),"")</f>
        <v/>
      </c>
      <c r="L83" s="28"/>
      <c r="M83" s="28"/>
      <c r="N83" s="30"/>
    </row>
    <row r="84" spans="1:14" s="2" customFormat="1" ht="15" thickBot="1" x14ac:dyDescent="0.35">
      <c r="A84" s="29"/>
      <c r="B84" s="30">
        <f t="shared" si="1"/>
        <v>1</v>
      </c>
      <c r="C84" s="28"/>
      <c r="D84" s="35" t="str">
        <f>IFERROR(VLOOKUP(C84,T_CÓDIGO[#All],4,FALSE),"")</f>
        <v/>
      </c>
      <c r="E84" s="30" t="str">
        <f>IFERROR(VLOOKUP(C84,T_CÓDIGO[#All],6,FALSE),"")</f>
        <v/>
      </c>
      <c r="F84" s="28"/>
      <c r="G84" s="30"/>
      <c r="H84" s="28"/>
      <c r="I84" s="30"/>
      <c r="J84" s="30"/>
      <c r="K84" s="30" t="str">
        <f>IFERROR(VLOOKUP(C84,T_CÓDIGO[#All],3,FALSE),"")</f>
        <v/>
      </c>
      <c r="L84" s="28"/>
      <c r="M84" s="28"/>
      <c r="N84" s="30"/>
    </row>
    <row r="85" spans="1:14" s="2" customFormat="1" ht="15" thickBot="1" x14ac:dyDescent="0.35">
      <c r="A85" s="29"/>
      <c r="B85" s="30">
        <f t="shared" si="1"/>
        <v>1</v>
      </c>
      <c r="C85" s="28"/>
      <c r="D85" s="35" t="str">
        <f>IFERROR(VLOOKUP(C85,T_CÓDIGO[#All],4,FALSE),"")</f>
        <v/>
      </c>
      <c r="E85" s="30" t="str">
        <f>IFERROR(VLOOKUP(C85,T_CÓDIGO[#All],6,FALSE),"")</f>
        <v/>
      </c>
      <c r="F85" s="28"/>
      <c r="G85" s="30"/>
      <c r="H85" s="28"/>
      <c r="I85" s="30"/>
      <c r="J85" s="30"/>
      <c r="K85" s="30" t="str">
        <f>IFERROR(VLOOKUP(C85,T_CÓDIGO[#All],3,FALSE),"")</f>
        <v/>
      </c>
      <c r="L85" s="28"/>
      <c r="M85" s="28"/>
      <c r="N85" s="30"/>
    </row>
    <row r="86" spans="1:14" s="2" customFormat="1" ht="15" thickBot="1" x14ac:dyDescent="0.35">
      <c r="A86" s="29"/>
      <c r="B86" s="30">
        <f t="shared" si="1"/>
        <v>1</v>
      </c>
      <c r="C86" s="28"/>
      <c r="D86" s="35" t="str">
        <f>IFERROR(VLOOKUP(C86,T_CÓDIGO[#All],4,FALSE),"")</f>
        <v/>
      </c>
      <c r="E86" s="30" t="str">
        <f>IFERROR(VLOOKUP(C86,T_CÓDIGO[#All],6,FALSE),"")</f>
        <v/>
      </c>
      <c r="F86" s="28"/>
      <c r="G86" s="30"/>
      <c r="H86" s="28"/>
      <c r="I86" s="30"/>
      <c r="J86" s="30"/>
      <c r="K86" s="30" t="str">
        <f>IFERROR(VLOOKUP(C86,T_CÓDIGO[#All],3,FALSE),"")</f>
        <v/>
      </c>
      <c r="L86" s="28"/>
      <c r="M86" s="28"/>
      <c r="N86" s="30"/>
    </row>
    <row r="87" spans="1:14" s="2" customFormat="1" ht="15" thickBot="1" x14ac:dyDescent="0.35">
      <c r="A87" s="29"/>
      <c r="B87" s="30">
        <f t="shared" si="1"/>
        <v>1</v>
      </c>
      <c r="C87" s="28"/>
      <c r="D87" s="35" t="str">
        <f>IFERROR(VLOOKUP(C87,T_CÓDIGO[#All],4,FALSE),"")</f>
        <v/>
      </c>
      <c r="E87" s="30" t="str">
        <f>IFERROR(VLOOKUP(C87,T_CÓDIGO[#All],6,FALSE),"")</f>
        <v/>
      </c>
      <c r="F87" s="28"/>
      <c r="G87" s="30"/>
      <c r="H87" s="28"/>
      <c r="I87" s="30"/>
      <c r="J87" s="30"/>
      <c r="K87" s="30" t="str">
        <f>IFERROR(VLOOKUP(C87,T_CÓDIGO[#All],3,FALSE),"")</f>
        <v/>
      </c>
      <c r="L87" s="28"/>
      <c r="M87" s="28"/>
      <c r="N87" s="30"/>
    </row>
    <row r="88" spans="1:14" s="2" customFormat="1" ht="15" thickBot="1" x14ac:dyDescent="0.35">
      <c r="A88" s="29"/>
      <c r="B88" s="30">
        <f t="shared" si="1"/>
        <v>1</v>
      </c>
      <c r="C88" s="28"/>
      <c r="D88" s="35" t="str">
        <f>IFERROR(VLOOKUP(C88,T_CÓDIGO[#All],4,FALSE),"")</f>
        <v/>
      </c>
      <c r="E88" s="30" t="str">
        <f>IFERROR(VLOOKUP(C88,T_CÓDIGO[#All],6,FALSE),"")</f>
        <v/>
      </c>
      <c r="F88" s="28"/>
      <c r="G88" s="30"/>
      <c r="H88" s="28"/>
      <c r="I88" s="30"/>
      <c r="J88" s="30"/>
      <c r="K88" s="30" t="str">
        <f>IFERROR(VLOOKUP(C88,T_CÓDIGO[#All],3,FALSE),"")</f>
        <v/>
      </c>
      <c r="L88" s="28"/>
      <c r="M88" s="28"/>
      <c r="N88" s="30"/>
    </row>
    <row r="89" spans="1:14" s="2" customFormat="1" ht="15" thickBot="1" x14ac:dyDescent="0.35">
      <c r="A89" s="29"/>
      <c r="B89" s="30">
        <f t="shared" si="1"/>
        <v>1</v>
      </c>
      <c r="C89" s="28"/>
      <c r="D89" s="35" t="str">
        <f>IFERROR(VLOOKUP(C89,T_CÓDIGO[#All],4,FALSE),"")</f>
        <v/>
      </c>
      <c r="E89" s="30" t="str">
        <f>IFERROR(VLOOKUP(C89,T_CÓDIGO[#All],6,FALSE),"")</f>
        <v/>
      </c>
      <c r="F89" s="28"/>
      <c r="G89" s="30"/>
      <c r="H89" s="28"/>
      <c r="I89" s="30"/>
      <c r="J89" s="30"/>
      <c r="K89" s="30" t="str">
        <f>IFERROR(VLOOKUP(C89,T_CÓDIGO[#All],3,FALSE),"")</f>
        <v/>
      </c>
      <c r="L89" s="28"/>
      <c r="M89" s="28"/>
      <c r="N89" s="30"/>
    </row>
    <row r="90" spans="1:14" s="2" customFormat="1" ht="15" thickBot="1" x14ac:dyDescent="0.35">
      <c r="A90" s="29"/>
      <c r="B90" s="30">
        <f t="shared" si="1"/>
        <v>1</v>
      </c>
      <c r="C90" s="28"/>
      <c r="D90" s="35" t="str">
        <f>IFERROR(VLOOKUP(C90,T_CÓDIGO[#All],4,FALSE),"")</f>
        <v/>
      </c>
      <c r="E90" s="30" t="str">
        <f>IFERROR(VLOOKUP(C90,T_CÓDIGO[#All],6,FALSE),"")</f>
        <v/>
      </c>
      <c r="F90" s="28"/>
      <c r="G90" s="30"/>
      <c r="H90" s="28"/>
      <c r="I90" s="30"/>
      <c r="J90" s="30"/>
      <c r="K90" s="30" t="str">
        <f>IFERROR(VLOOKUP(C90,T_CÓDIGO[#All],3,FALSE),"")</f>
        <v/>
      </c>
      <c r="L90" s="28"/>
      <c r="M90" s="28"/>
      <c r="N90" s="30"/>
    </row>
    <row r="91" spans="1:14" s="2" customFormat="1" ht="15" thickBot="1" x14ac:dyDescent="0.35">
      <c r="A91" s="29"/>
      <c r="B91" s="30">
        <f t="shared" si="1"/>
        <v>1</v>
      </c>
      <c r="C91" s="28"/>
      <c r="D91" s="35" t="str">
        <f>IFERROR(VLOOKUP(C91,T_CÓDIGO[#All],4,FALSE),"")</f>
        <v/>
      </c>
      <c r="E91" s="30" t="str">
        <f>IFERROR(VLOOKUP(C91,T_CÓDIGO[#All],6,FALSE),"")</f>
        <v/>
      </c>
      <c r="F91" s="28"/>
      <c r="G91" s="30"/>
      <c r="H91" s="28"/>
      <c r="I91" s="30"/>
      <c r="J91" s="30"/>
      <c r="K91" s="30" t="str">
        <f>IFERROR(VLOOKUP(C91,T_CÓDIGO[#All],3,FALSE),"")</f>
        <v/>
      </c>
      <c r="L91" s="28"/>
      <c r="M91" s="28"/>
      <c r="N91" s="30"/>
    </row>
    <row r="92" spans="1:14" s="2" customFormat="1" ht="15" thickBot="1" x14ac:dyDescent="0.35">
      <c r="A92" s="29"/>
      <c r="B92" s="30">
        <f t="shared" si="1"/>
        <v>1</v>
      </c>
      <c r="C92" s="28"/>
      <c r="D92" s="35" t="str">
        <f>IFERROR(VLOOKUP(C92,T_CÓDIGO[#All],4,FALSE),"")</f>
        <v/>
      </c>
      <c r="E92" s="30" t="str">
        <f>IFERROR(VLOOKUP(C92,T_CÓDIGO[#All],6,FALSE),"")</f>
        <v/>
      </c>
      <c r="F92" s="28"/>
      <c r="G92" s="30"/>
      <c r="H92" s="28"/>
      <c r="I92" s="30"/>
      <c r="J92" s="30"/>
      <c r="K92" s="30" t="str">
        <f>IFERROR(VLOOKUP(C92,T_CÓDIGO[#All],3,FALSE),"")</f>
        <v/>
      </c>
      <c r="L92" s="28"/>
      <c r="M92" s="28"/>
      <c r="N92" s="30"/>
    </row>
    <row r="93" spans="1:14" s="2" customFormat="1" ht="15" thickBot="1" x14ac:dyDescent="0.35">
      <c r="A93" s="29"/>
      <c r="B93" s="30">
        <f t="shared" si="1"/>
        <v>1</v>
      </c>
      <c r="C93" s="28"/>
      <c r="D93" s="35" t="str">
        <f>IFERROR(VLOOKUP(C93,T_CÓDIGO[#All],4,FALSE),"")</f>
        <v/>
      </c>
      <c r="E93" s="30" t="str">
        <f>IFERROR(VLOOKUP(C93,T_CÓDIGO[#All],6,FALSE),"")</f>
        <v/>
      </c>
      <c r="F93" s="28"/>
      <c r="G93" s="30"/>
      <c r="H93" s="28"/>
      <c r="I93" s="30"/>
      <c r="J93" s="30"/>
      <c r="K93" s="30" t="str">
        <f>IFERROR(VLOOKUP(C93,T_CÓDIGO[#All],3,FALSE),"")</f>
        <v/>
      </c>
      <c r="L93" s="28"/>
      <c r="M93" s="28"/>
      <c r="N93" s="30"/>
    </row>
    <row r="94" spans="1:14" s="2" customFormat="1" ht="15" thickBot="1" x14ac:dyDescent="0.35">
      <c r="A94" s="29"/>
      <c r="B94" s="30">
        <f t="shared" si="1"/>
        <v>1</v>
      </c>
      <c r="C94" s="28"/>
      <c r="D94" s="35" t="str">
        <f>IFERROR(VLOOKUP(C94,T_CÓDIGO[#All],4,FALSE),"")</f>
        <v/>
      </c>
      <c r="E94" s="30" t="str">
        <f>IFERROR(VLOOKUP(C94,T_CÓDIGO[#All],6,FALSE),"")</f>
        <v/>
      </c>
      <c r="F94" s="28"/>
      <c r="G94" s="30"/>
      <c r="H94" s="28"/>
      <c r="I94" s="30"/>
      <c r="J94" s="30"/>
      <c r="K94" s="30" t="str">
        <f>IFERROR(VLOOKUP(C94,T_CÓDIGO[#All],3,FALSE),"")</f>
        <v/>
      </c>
      <c r="L94" s="28"/>
      <c r="M94" s="28"/>
      <c r="N94" s="30"/>
    </row>
    <row r="95" spans="1:14" s="2" customFormat="1" ht="15" thickBot="1" x14ac:dyDescent="0.35">
      <c r="A95" s="29"/>
      <c r="B95" s="30">
        <f t="shared" si="1"/>
        <v>1</v>
      </c>
      <c r="C95" s="28"/>
      <c r="D95" s="35" t="str">
        <f>IFERROR(VLOOKUP(C95,T_CÓDIGO[#All],4,FALSE),"")</f>
        <v/>
      </c>
      <c r="E95" s="30" t="str">
        <f>IFERROR(VLOOKUP(C95,T_CÓDIGO[#All],6,FALSE),"")</f>
        <v/>
      </c>
      <c r="F95" s="28"/>
      <c r="G95" s="30"/>
      <c r="H95" s="28"/>
      <c r="I95" s="30"/>
      <c r="J95" s="30"/>
      <c r="K95" s="30" t="str">
        <f>IFERROR(VLOOKUP(C95,T_CÓDIGO[#All],3,FALSE),"")</f>
        <v/>
      </c>
      <c r="L95" s="28"/>
      <c r="M95" s="28"/>
      <c r="N95" s="30"/>
    </row>
    <row r="96" spans="1:14" s="2" customFormat="1" ht="15" thickBot="1" x14ac:dyDescent="0.35">
      <c r="A96" s="29"/>
      <c r="B96" s="30">
        <f t="shared" si="1"/>
        <v>1</v>
      </c>
      <c r="C96" s="28"/>
      <c r="D96" s="35" t="str">
        <f>IFERROR(VLOOKUP(C96,T_CÓDIGO[#All],4,FALSE),"")</f>
        <v/>
      </c>
      <c r="E96" s="30" t="str">
        <f>IFERROR(VLOOKUP(C96,T_CÓDIGO[#All],6,FALSE),"")</f>
        <v/>
      </c>
      <c r="F96" s="28"/>
      <c r="G96" s="30"/>
      <c r="H96" s="28"/>
      <c r="I96" s="30"/>
      <c r="J96" s="30"/>
      <c r="K96" s="30" t="str">
        <f>IFERROR(VLOOKUP(C96,T_CÓDIGO[#All],3,FALSE),"")</f>
        <v/>
      </c>
      <c r="L96" s="28"/>
      <c r="M96" s="28"/>
      <c r="N96" s="30"/>
    </row>
    <row r="97" spans="1:14" s="2" customFormat="1" ht="15" thickBot="1" x14ac:dyDescent="0.35">
      <c r="A97" s="29"/>
      <c r="B97" s="30">
        <f t="shared" si="1"/>
        <v>1</v>
      </c>
      <c r="C97" s="28"/>
      <c r="D97" s="35" t="str">
        <f>IFERROR(VLOOKUP(C97,T_CÓDIGO[#All],4,FALSE),"")</f>
        <v/>
      </c>
      <c r="E97" s="30" t="str">
        <f>IFERROR(VLOOKUP(C97,T_CÓDIGO[#All],6,FALSE),"")</f>
        <v/>
      </c>
      <c r="F97" s="28"/>
      <c r="G97" s="30"/>
      <c r="H97" s="28"/>
      <c r="I97" s="30"/>
      <c r="J97" s="30"/>
      <c r="K97" s="30" t="str">
        <f>IFERROR(VLOOKUP(C97,T_CÓDIGO[#All],3,FALSE),"")</f>
        <v/>
      </c>
      <c r="L97" s="28"/>
      <c r="M97" s="28"/>
      <c r="N97" s="30"/>
    </row>
    <row r="98" spans="1:14" s="2" customFormat="1" ht="15" thickBot="1" x14ac:dyDescent="0.35">
      <c r="A98" s="29"/>
      <c r="B98" s="30">
        <f t="shared" si="1"/>
        <v>1</v>
      </c>
      <c r="C98" s="28"/>
      <c r="D98" s="35" t="str">
        <f>IFERROR(VLOOKUP(C98,T_CÓDIGO[#All],4,FALSE),"")</f>
        <v/>
      </c>
      <c r="E98" s="30" t="str">
        <f>IFERROR(VLOOKUP(C98,T_CÓDIGO[#All],6,FALSE),"")</f>
        <v/>
      </c>
      <c r="F98" s="28"/>
      <c r="G98" s="30"/>
      <c r="H98" s="28"/>
      <c r="I98" s="30"/>
      <c r="J98" s="30"/>
      <c r="K98" s="30" t="str">
        <f>IFERROR(VLOOKUP(C98,T_CÓDIGO[#All],3,FALSE),"")</f>
        <v/>
      </c>
      <c r="L98" s="28"/>
      <c r="M98" s="28"/>
      <c r="N98" s="30"/>
    </row>
    <row r="99" spans="1:14" s="2" customFormat="1" ht="15" thickBot="1" x14ac:dyDescent="0.35">
      <c r="A99" s="29"/>
      <c r="B99" s="30">
        <f t="shared" si="1"/>
        <v>1</v>
      </c>
      <c r="C99" s="28"/>
      <c r="D99" s="35" t="str">
        <f>IFERROR(VLOOKUP(C99,T_CÓDIGO[#All],4,FALSE),"")</f>
        <v/>
      </c>
      <c r="E99" s="30" t="str">
        <f>IFERROR(VLOOKUP(C99,T_CÓDIGO[#All],6,FALSE),"")</f>
        <v/>
      </c>
      <c r="F99" s="28"/>
      <c r="G99" s="30"/>
      <c r="H99" s="28"/>
      <c r="I99" s="30"/>
      <c r="J99" s="30"/>
      <c r="K99" s="30" t="str">
        <f>IFERROR(VLOOKUP(C99,T_CÓDIGO[#All],3,FALSE),"")</f>
        <v/>
      </c>
      <c r="L99" s="28"/>
      <c r="M99" s="28"/>
      <c r="N99" s="30"/>
    </row>
    <row r="100" spans="1:14" s="2" customFormat="1" ht="15" thickBot="1" x14ac:dyDescent="0.35">
      <c r="A100" s="29"/>
      <c r="B100" s="30">
        <f t="shared" si="1"/>
        <v>1</v>
      </c>
      <c r="C100" s="28"/>
      <c r="D100" s="35" t="str">
        <f>IFERROR(VLOOKUP(C100,T_CÓDIGO[#All],4,FALSE),"")</f>
        <v/>
      </c>
      <c r="E100" s="30" t="str">
        <f>IFERROR(VLOOKUP(C100,T_CÓDIGO[#All],6,FALSE),"")</f>
        <v/>
      </c>
      <c r="F100" s="28"/>
      <c r="G100" s="30"/>
      <c r="H100" s="28"/>
      <c r="I100" s="30"/>
      <c r="J100" s="30"/>
      <c r="K100" s="30" t="str">
        <f>IFERROR(VLOOKUP(C100,T_CÓDIGO[#All],3,FALSE),"")</f>
        <v/>
      </c>
      <c r="L100" s="28"/>
      <c r="M100" s="28"/>
      <c r="N100" s="30"/>
    </row>
    <row r="101" spans="1:14" s="2" customFormat="1" ht="15" thickBot="1" x14ac:dyDescent="0.35">
      <c r="A101" s="29"/>
      <c r="B101" s="30">
        <f t="shared" si="1"/>
        <v>1</v>
      </c>
      <c r="C101" s="28"/>
      <c r="D101" s="35" t="str">
        <f>IFERROR(VLOOKUP(C101,T_CÓDIGO[#All],4,FALSE),"")</f>
        <v/>
      </c>
      <c r="E101" s="30" t="str">
        <f>IFERROR(VLOOKUP(C101,T_CÓDIGO[#All],6,FALSE),"")</f>
        <v/>
      </c>
      <c r="F101" s="28"/>
      <c r="G101" s="30"/>
      <c r="H101" s="28"/>
      <c r="I101" s="30"/>
      <c r="J101" s="30"/>
      <c r="K101" s="30" t="str">
        <f>IFERROR(VLOOKUP(C101,T_CÓDIGO[#All],3,FALSE),"")</f>
        <v/>
      </c>
      <c r="L101" s="28"/>
      <c r="M101" s="28"/>
      <c r="N101" s="30"/>
    </row>
    <row r="102" spans="1:14" s="2" customFormat="1" ht="15" thickBot="1" x14ac:dyDescent="0.35">
      <c r="A102" s="29"/>
      <c r="B102" s="30">
        <f t="shared" si="1"/>
        <v>1</v>
      </c>
      <c r="C102" s="28"/>
      <c r="D102" s="35" t="str">
        <f>IFERROR(VLOOKUP(C102,T_CÓDIGO[#All],4,FALSE),"")</f>
        <v/>
      </c>
      <c r="E102" s="30" t="str">
        <f>IFERROR(VLOOKUP(C102,T_CÓDIGO[#All],6,FALSE),"")</f>
        <v/>
      </c>
      <c r="F102" s="28"/>
      <c r="G102" s="30"/>
      <c r="H102" s="28"/>
      <c r="I102" s="30"/>
      <c r="J102" s="30"/>
      <c r="K102" s="30" t="str">
        <f>IFERROR(VLOOKUP(C102,T_CÓDIGO[#All],3,FALSE),"")</f>
        <v/>
      </c>
      <c r="L102" s="28"/>
      <c r="M102" s="28"/>
      <c r="N102" s="30"/>
    </row>
    <row r="103" spans="1:14" s="2" customFormat="1" ht="15" thickBot="1" x14ac:dyDescent="0.35">
      <c r="A103" s="29"/>
      <c r="B103" s="30">
        <f t="shared" si="1"/>
        <v>1</v>
      </c>
      <c r="C103" s="28"/>
      <c r="D103" s="35" t="str">
        <f>IFERROR(VLOOKUP(C103,T_CÓDIGO[#All],4,FALSE),"")</f>
        <v/>
      </c>
      <c r="E103" s="30" t="str">
        <f>IFERROR(VLOOKUP(C103,T_CÓDIGO[#All],6,FALSE),"")</f>
        <v/>
      </c>
      <c r="F103" s="28"/>
      <c r="G103" s="30"/>
      <c r="H103" s="28"/>
      <c r="I103" s="30"/>
      <c r="J103" s="30"/>
      <c r="K103" s="30" t="str">
        <f>IFERROR(VLOOKUP(C103,T_CÓDIGO[#All],3,FALSE),"")</f>
        <v/>
      </c>
      <c r="L103" s="28"/>
      <c r="M103" s="28"/>
      <c r="N103" s="30"/>
    </row>
    <row r="104" spans="1:14" s="2" customFormat="1" ht="15" thickBot="1" x14ac:dyDescent="0.35">
      <c r="A104" s="29"/>
      <c r="B104" s="30">
        <f t="shared" si="1"/>
        <v>1</v>
      </c>
      <c r="C104" s="28"/>
      <c r="D104" s="35" t="str">
        <f>IFERROR(VLOOKUP(C104,T_CÓDIGO[#All],4,FALSE),"")</f>
        <v/>
      </c>
      <c r="E104" s="30" t="str">
        <f>IFERROR(VLOOKUP(C104,T_CÓDIGO[#All],6,FALSE),"")</f>
        <v/>
      </c>
      <c r="F104" s="28"/>
      <c r="G104" s="30"/>
      <c r="H104" s="28"/>
      <c r="I104" s="30"/>
      <c r="J104" s="30"/>
      <c r="K104" s="30" t="str">
        <f>IFERROR(VLOOKUP(C104,T_CÓDIGO[#All],3,FALSE),"")</f>
        <v/>
      </c>
      <c r="L104" s="28"/>
      <c r="M104" s="28"/>
      <c r="N104" s="30"/>
    </row>
    <row r="105" spans="1:14" s="2" customFormat="1" ht="15" thickBot="1" x14ac:dyDescent="0.35">
      <c r="A105" s="29"/>
      <c r="B105" s="30">
        <f t="shared" si="1"/>
        <v>1</v>
      </c>
      <c r="C105" s="28"/>
      <c r="D105" s="35" t="str">
        <f>IFERROR(VLOOKUP(C105,T_CÓDIGO[#All],4,FALSE),"")</f>
        <v/>
      </c>
      <c r="E105" s="30" t="str">
        <f>IFERROR(VLOOKUP(C105,T_CÓDIGO[#All],6,FALSE),"")</f>
        <v/>
      </c>
      <c r="F105" s="28"/>
      <c r="G105" s="30"/>
      <c r="H105" s="28"/>
      <c r="I105" s="30"/>
      <c r="J105" s="30"/>
      <c r="K105" s="30" t="str">
        <f>IFERROR(VLOOKUP(C105,T_CÓDIGO[#All],3,FALSE),"")</f>
        <v/>
      </c>
      <c r="L105" s="28"/>
      <c r="M105" s="28"/>
      <c r="N105" s="30"/>
    </row>
    <row r="106" spans="1:14" s="2" customFormat="1" ht="15" thickBot="1" x14ac:dyDescent="0.35">
      <c r="A106" s="29"/>
      <c r="B106" s="30">
        <f t="shared" si="1"/>
        <v>1</v>
      </c>
      <c r="C106" s="28"/>
      <c r="D106" s="35" t="str">
        <f>IFERROR(VLOOKUP(C106,T_CÓDIGO[#All],4,FALSE),"")</f>
        <v/>
      </c>
      <c r="E106" s="30" t="str">
        <f>IFERROR(VLOOKUP(C106,T_CÓDIGO[#All],6,FALSE),"")</f>
        <v/>
      </c>
      <c r="F106" s="28"/>
      <c r="G106" s="30"/>
      <c r="H106" s="28"/>
      <c r="I106" s="30"/>
      <c r="J106" s="30"/>
      <c r="K106" s="30" t="str">
        <f>IFERROR(VLOOKUP(C106,T_CÓDIGO[#All],3,FALSE),"")</f>
        <v/>
      </c>
      <c r="L106" s="28"/>
      <c r="M106" s="28"/>
      <c r="N106" s="30"/>
    </row>
    <row r="107" spans="1:14" s="2" customFormat="1" ht="15" thickBot="1" x14ac:dyDescent="0.35">
      <c r="A107" s="29"/>
      <c r="B107" s="30">
        <f t="shared" si="1"/>
        <v>1</v>
      </c>
      <c r="C107" s="28"/>
      <c r="D107" s="35" t="str">
        <f>IFERROR(VLOOKUP(C107,T_CÓDIGO[#All],4,FALSE),"")</f>
        <v/>
      </c>
      <c r="E107" s="30" t="str">
        <f>IFERROR(VLOOKUP(C107,T_CÓDIGO[#All],6,FALSE),"")</f>
        <v/>
      </c>
      <c r="F107" s="28"/>
      <c r="G107" s="30"/>
      <c r="H107" s="28"/>
      <c r="I107" s="30"/>
      <c r="J107" s="30"/>
      <c r="K107" s="30" t="str">
        <f>IFERROR(VLOOKUP(C107,T_CÓDIGO[#All],3,FALSE),"")</f>
        <v/>
      </c>
      <c r="L107" s="28"/>
      <c r="M107" s="28"/>
      <c r="N107" s="30"/>
    </row>
    <row r="108" spans="1:14" s="2" customFormat="1" ht="15" thickBot="1" x14ac:dyDescent="0.35">
      <c r="A108" s="29"/>
      <c r="B108" s="30">
        <f t="shared" si="1"/>
        <v>1</v>
      </c>
      <c r="C108" s="28"/>
      <c r="D108" s="35" t="str">
        <f>IFERROR(VLOOKUP(C108,T_CÓDIGO[#All],4,FALSE),"")</f>
        <v/>
      </c>
      <c r="E108" s="30" t="str">
        <f>IFERROR(VLOOKUP(C108,T_CÓDIGO[#All],6,FALSE),"")</f>
        <v/>
      </c>
      <c r="F108" s="28"/>
      <c r="G108" s="30"/>
      <c r="H108" s="28"/>
      <c r="I108" s="30"/>
      <c r="J108" s="30"/>
      <c r="K108" s="30" t="str">
        <f>IFERROR(VLOOKUP(C108,T_CÓDIGO[#All],3,FALSE),"")</f>
        <v/>
      </c>
      <c r="L108" s="28"/>
      <c r="M108" s="28"/>
      <c r="N108" s="30"/>
    </row>
    <row r="109" spans="1:14" s="2" customFormat="1" ht="15" thickBot="1" x14ac:dyDescent="0.35">
      <c r="A109" s="29"/>
      <c r="B109" s="30">
        <f t="shared" si="1"/>
        <v>1</v>
      </c>
      <c r="C109" s="28"/>
      <c r="D109" s="35" t="str">
        <f>IFERROR(VLOOKUP(C109,T_CÓDIGO[#All],4,FALSE),"")</f>
        <v/>
      </c>
      <c r="E109" s="30" t="str">
        <f>IFERROR(VLOOKUP(C109,T_CÓDIGO[#All],6,FALSE),"")</f>
        <v/>
      </c>
      <c r="F109" s="28"/>
      <c r="G109" s="30"/>
      <c r="H109" s="28"/>
      <c r="I109" s="30"/>
      <c r="J109" s="30"/>
      <c r="K109" s="30" t="str">
        <f>IFERROR(VLOOKUP(C109,T_CÓDIGO[#All],3,FALSE),"")</f>
        <v/>
      </c>
      <c r="L109" s="28"/>
      <c r="M109" s="28"/>
      <c r="N109" s="30"/>
    </row>
    <row r="110" spans="1:14" s="2" customFormat="1" ht="15" thickBot="1" x14ac:dyDescent="0.35">
      <c r="A110" s="29"/>
      <c r="B110" s="30">
        <f t="shared" si="1"/>
        <v>1</v>
      </c>
      <c r="C110" s="28"/>
      <c r="D110" s="35" t="str">
        <f>IFERROR(VLOOKUP(C110,T_CÓDIGO[#All],4,FALSE),"")</f>
        <v/>
      </c>
      <c r="E110" s="30" t="str">
        <f>IFERROR(VLOOKUP(C110,T_CÓDIGO[#All],6,FALSE),"")</f>
        <v/>
      </c>
      <c r="F110" s="28"/>
      <c r="G110" s="30"/>
      <c r="H110" s="28"/>
      <c r="I110" s="30"/>
      <c r="J110" s="30"/>
      <c r="K110" s="30" t="str">
        <f>IFERROR(VLOOKUP(C110,T_CÓDIGO[#All],3,FALSE),"")</f>
        <v/>
      </c>
      <c r="L110" s="28"/>
      <c r="M110" s="28"/>
      <c r="N110" s="30"/>
    </row>
    <row r="111" spans="1:14" s="2" customFormat="1" ht="15" thickBot="1" x14ac:dyDescent="0.35">
      <c r="A111" s="29"/>
      <c r="B111" s="30">
        <f t="shared" si="1"/>
        <v>1</v>
      </c>
      <c r="C111" s="28"/>
      <c r="D111" s="35" t="str">
        <f>IFERROR(VLOOKUP(C111,T_CÓDIGO[#All],4,FALSE),"")</f>
        <v/>
      </c>
      <c r="E111" s="30" t="str">
        <f>IFERROR(VLOOKUP(C111,T_CÓDIGO[#All],6,FALSE),"")</f>
        <v/>
      </c>
      <c r="F111" s="28"/>
      <c r="G111" s="30"/>
      <c r="H111" s="28"/>
      <c r="I111" s="30"/>
      <c r="J111" s="30"/>
      <c r="K111" s="30" t="str">
        <f>IFERROR(VLOOKUP(C111,T_CÓDIGO[#All],3,FALSE),"")</f>
        <v/>
      </c>
      <c r="L111" s="28"/>
      <c r="M111" s="28"/>
      <c r="N111" s="30"/>
    </row>
    <row r="112" spans="1:14" s="2" customFormat="1" ht="15" thickBot="1" x14ac:dyDescent="0.35">
      <c r="A112" s="29"/>
      <c r="B112" s="30">
        <f t="shared" si="1"/>
        <v>1</v>
      </c>
      <c r="C112" s="28"/>
      <c r="D112" s="35" t="str">
        <f>IFERROR(VLOOKUP(C112,T_CÓDIGO[#All],4,FALSE),"")</f>
        <v/>
      </c>
      <c r="E112" s="30" t="str">
        <f>IFERROR(VLOOKUP(C112,T_CÓDIGO[#All],6,FALSE),"")</f>
        <v/>
      </c>
      <c r="F112" s="28"/>
      <c r="G112" s="30"/>
      <c r="H112" s="28"/>
      <c r="I112" s="30"/>
      <c r="J112" s="30"/>
      <c r="K112" s="30" t="str">
        <f>IFERROR(VLOOKUP(C112,T_CÓDIGO[#All],3,FALSE),"")</f>
        <v/>
      </c>
      <c r="L112" s="28"/>
      <c r="M112" s="28"/>
      <c r="N112" s="30"/>
    </row>
    <row r="113" spans="1:14" s="2" customFormat="1" ht="15" thickBot="1" x14ac:dyDescent="0.35">
      <c r="A113" s="29"/>
      <c r="B113" s="30">
        <f t="shared" si="1"/>
        <v>1</v>
      </c>
      <c r="C113" s="28"/>
      <c r="D113" s="35" t="str">
        <f>IFERROR(VLOOKUP(C113,T_CÓDIGO[#All],4,FALSE),"")</f>
        <v/>
      </c>
      <c r="E113" s="30" t="str">
        <f>IFERROR(VLOOKUP(C113,T_CÓDIGO[#All],6,FALSE),"")</f>
        <v/>
      </c>
      <c r="F113" s="28"/>
      <c r="G113" s="30"/>
      <c r="H113" s="28"/>
      <c r="I113" s="30"/>
      <c r="J113" s="30"/>
      <c r="K113" s="30" t="str">
        <f>IFERROR(VLOOKUP(C113,T_CÓDIGO[#All],3,FALSE),"")</f>
        <v/>
      </c>
      <c r="L113" s="28"/>
      <c r="M113" s="28"/>
      <c r="N113" s="30"/>
    </row>
    <row r="114" spans="1:14" s="2" customFormat="1" ht="15" thickBot="1" x14ac:dyDescent="0.35">
      <c r="A114" s="29"/>
      <c r="B114" s="30">
        <f t="shared" si="1"/>
        <v>1</v>
      </c>
      <c r="C114" s="28"/>
      <c r="D114" s="35" t="str">
        <f>IFERROR(VLOOKUP(C114,T_CÓDIGO[#All],4,FALSE),"")</f>
        <v/>
      </c>
      <c r="E114" s="30" t="str">
        <f>IFERROR(VLOOKUP(C114,T_CÓDIGO[#All],6,FALSE),"")</f>
        <v/>
      </c>
      <c r="F114" s="28"/>
      <c r="G114" s="30"/>
      <c r="H114" s="28"/>
      <c r="I114" s="30"/>
      <c r="J114" s="30"/>
      <c r="K114" s="30" t="str">
        <f>IFERROR(VLOOKUP(C114,T_CÓDIGO[#All],3,FALSE),"")</f>
        <v/>
      </c>
      <c r="L114" s="28"/>
      <c r="M114" s="28"/>
      <c r="N114" s="30"/>
    </row>
    <row r="115" spans="1:14" s="2" customFormat="1" ht="15" thickBot="1" x14ac:dyDescent="0.35">
      <c r="A115" s="29"/>
      <c r="B115" s="30">
        <f t="shared" si="1"/>
        <v>1</v>
      </c>
      <c r="C115" s="28"/>
      <c r="D115" s="35" t="str">
        <f>IFERROR(VLOOKUP(C115,T_CÓDIGO[#All],4,FALSE),"")</f>
        <v/>
      </c>
      <c r="E115" s="30" t="str">
        <f>IFERROR(VLOOKUP(C115,T_CÓDIGO[#All],6,FALSE),"")</f>
        <v/>
      </c>
      <c r="F115" s="28"/>
      <c r="G115" s="30"/>
      <c r="H115" s="28"/>
      <c r="I115" s="30"/>
      <c r="J115" s="30"/>
      <c r="K115" s="30" t="str">
        <f>IFERROR(VLOOKUP(C115,T_CÓDIGO[#All],3,FALSE),"")</f>
        <v/>
      </c>
      <c r="L115" s="28"/>
      <c r="M115" s="28"/>
      <c r="N115" s="30"/>
    </row>
    <row r="116" spans="1:14" s="2" customFormat="1" ht="15" thickBot="1" x14ac:dyDescent="0.35">
      <c r="A116" s="29"/>
      <c r="B116" s="30">
        <f t="shared" si="1"/>
        <v>1</v>
      </c>
      <c r="C116" s="28"/>
      <c r="D116" s="35" t="str">
        <f>IFERROR(VLOOKUP(C116,T_CÓDIGO[#All],4,FALSE),"")</f>
        <v/>
      </c>
      <c r="E116" s="30" t="str">
        <f>IFERROR(VLOOKUP(C116,T_CÓDIGO[#All],6,FALSE),"")</f>
        <v/>
      </c>
      <c r="F116" s="28"/>
      <c r="G116" s="30"/>
      <c r="H116" s="28"/>
      <c r="I116" s="30"/>
      <c r="J116" s="30"/>
      <c r="K116" s="30" t="str">
        <f>IFERROR(VLOOKUP(C116,T_CÓDIGO[#All],3,FALSE),"")</f>
        <v/>
      </c>
      <c r="L116" s="28"/>
      <c r="M116" s="28"/>
      <c r="N116" s="30"/>
    </row>
    <row r="117" spans="1:14" s="2" customFormat="1" ht="15" thickBot="1" x14ac:dyDescent="0.35">
      <c r="A117" s="29"/>
      <c r="B117" s="30">
        <f t="shared" si="1"/>
        <v>1</v>
      </c>
      <c r="C117" s="28"/>
      <c r="D117" s="35" t="str">
        <f>IFERROR(VLOOKUP(C117,T_CÓDIGO[#All],4,FALSE),"")</f>
        <v/>
      </c>
      <c r="E117" s="30" t="str">
        <f>IFERROR(VLOOKUP(C117,T_CÓDIGO[#All],6,FALSE),"")</f>
        <v/>
      </c>
      <c r="F117" s="28"/>
      <c r="G117" s="30"/>
      <c r="H117" s="28"/>
      <c r="I117" s="30"/>
      <c r="J117" s="30"/>
      <c r="K117" s="30" t="str">
        <f>IFERROR(VLOOKUP(C117,T_CÓDIGO[#All],3,FALSE),"")</f>
        <v/>
      </c>
      <c r="L117" s="28"/>
      <c r="M117" s="28"/>
      <c r="N117" s="30"/>
    </row>
    <row r="118" spans="1:14" s="2" customFormat="1" ht="15" thickBot="1" x14ac:dyDescent="0.35">
      <c r="A118" s="29"/>
      <c r="B118" s="30">
        <f t="shared" si="1"/>
        <v>1</v>
      </c>
      <c r="C118" s="28"/>
      <c r="D118" s="35" t="str">
        <f>IFERROR(VLOOKUP(C118,T_CÓDIGO[#All],4,FALSE),"")</f>
        <v/>
      </c>
      <c r="E118" s="30" t="str">
        <f>IFERROR(VLOOKUP(C118,T_CÓDIGO[#All],6,FALSE),"")</f>
        <v/>
      </c>
      <c r="F118" s="28"/>
      <c r="G118" s="30"/>
      <c r="H118" s="28"/>
      <c r="I118" s="30"/>
      <c r="J118" s="30"/>
      <c r="K118" s="30" t="str">
        <f>IFERROR(VLOOKUP(C118,T_CÓDIGO[#All],3,FALSE),"")</f>
        <v/>
      </c>
      <c r="L118" s="28"/>
      <c r="M118" s="28"/>
      <c r="N118" s="30"/>
    </row>
    <row r="119" spans="1:14" s="2" customFormat="1" ht="15" thickBot="1" x14ac:dyDescent="0.35">
      <c r="A119" s="29"/>
      <c r="B119" s="30">
        <f t="shared" si="1"/>
        <v>1</v>
      </c>
      <c r="C119" s="28"/>
      <c r="D119" s="35" t="str">
        <f>IFERROR(VLOOKUP(C119,T_CÓDIGO[#All],4,FALSE),"")</f>
        <v/>
      </c>
      <c r="E119" s="30" t="str">
        <f>IFERROR(VLOOKUP(C119,T_CÓDIGO[#All],6,FALSE),"")</f>
        <v/>
      </c>
      <c r="F119" s="28"/>
      <c r="G119" s="30"/>
      <c r="H119" s="28"/>
      <c r="I119" s="30"/>
      <c r="J119" s="30"/>
      <c r="K119" s="30" t="str">
        <f>IFERROR(VLOOKUP(C119,T_CÓDIGO[#All],3,FALSE),"")</f>
        <v/>
      </c>
      <c r="L119" s="28"/>
      <c r="M119" s="28"/>
      <c r="N119" s="30"/>
    </row>
    <row r="120" spans="1:14" s="2" customFormat="1" ht="15" thickBot="1" x14ac:dyDescent="0.35">
      <c r="A120" s="29"/>
      <c r="B120" s="30">
        <f t="shared" si="1"/>
        <v>1</v>
      </c>
      <c r="C120" s="28"/>
      <c r="D120" s="35" t="str">
        <f>IFERROR(VLOOKUP(C120,T_CÓDIGO[#All],4,FALSE),"")</f>
        <v/>
      </c>
      <c r="E120" s="30" t="str">
        <f>IFERROR(VLOOKUP(C120,T_CÓDIGO[#All],6,FALSE),"")</f>
        <v/>
      </c>
      <c r="F120" s="28"/>
      <c r="G120" s="30"/>
      <c r="H120" s="28"/>
      <c r="I120" s="30"/>
      <c r="J120" s="30"/>
      <c r="K120" s="30" t="str">
        <f>IFERROR(VLOOKUP(C120,T_CÓDIGO[#All],3,FALSE),"")</f>
        <v/>
      </c>
      <c r="L120" s="28"/>
      <c r="M120" s="28"/>
      <c r="N120" s="30"/>
    </row>
    <row r="121" spans="1:14" s="2" customFormat="1" ht="15" thickBot="1" x14ac:dyDescent="0.35">
      <c r="A121" s="29"/>
      <c r="B121" s="30">
        <f t="shared" si="1"/>
        <v>1</v>
      </c>
      <c r="C121" s="28"/>
      <c r="D121" s="35" t="str">
        <f>IFERROR(VLOOKUP(C121,T_CÓDIGO[#All],4,FALSE),"")</f>
        <v/>
      </c>
      <c r="E121" s="30" t="str">
        <f>IFERROR(VLOOKUP(C121,T_CÓDIGO[#All],6,FALSE),"")</f>
        <v/>
      </c>
      <c r="F121" s="28"/>
      <c r="G121" s="30"/>
      <c r="H121" s="28"/>
      <c r="I121" s="30"/>
      <c r="J121" s="30"/>
      <c r="K121" s="30" t="str">
        <f>IFERROR(VLOOKUP(C121,T_CÓDIGO[#All],3,FALSE),"")</f>
        <v/>
      </c>
      <c r="L121" s="28"/>
      <c r="M121" s="28"/>
      <c r="N121" s="30"/>
    </row>
    <row r="122" spans="1:14" s="2" customFormat="1" ht="15" thickBot="1" x14ac:dyDescent="0.35">
      <c r="A122" s="29"/>
      <c r="B122" s="30">
        <f t="shared" si="1"/>
        <v>1</v>
      </c>
      <c r="C122" s="28"/>
      <c r="D122" s="35" t="str">
        <f>IFERROR(VLOOKUP(C122,T_CÓDIGO[#All],4,FALSE),"")</f>
        <v/>
      </c>
      <c r="E122" s="30" t="str">
        <f>IFERROR(VLOOKUP(C122,T_CÓDIGO[#All],6,FALSE),"")</f>
        <v/>
      </c>
      <c r="F122" s="28"/>
      <c r="G122" s="30"/>
      <c r="H122" s="28"/>
      <c r="I122" s="30"/>
      <c r="J122" s="30"/>
      <c r="K122" s="30" t="str">
        <f>IFERROR(VLOOKUP(C122,T_CÓDIGO[#All],3,FALSE),"")</f>
        <v/>
      </c>
      <c r="L122" s="28"/>
      <c r="M122" s="28"/>
      <c r="N122" s="30"/>
    </row>
    <row r="123" spans="1:14" s="2" customFormat="1" ht="15" thickBot="1" x14ac:dyDescent="0.35">
      <c r="A123" s="29"/>
      <c r="B123" s="30">
        <f t="shared" si="1"/>
        <v>1</v>
      </c>
      <c r="C123" s="28"/>
      <c r="D123" s="35" t="str">
        <f>IFERROR(VLOOKUP(C123,T_CÓDIGO[#All],4,FALSE),"")</f>
        <v/>
      </c>
      <c r="E123" s="30" t="str">
        <f>IFERROR(VLOOKUP(C123,T_CÓDIGO[#All],6,FALSE),"")</f>
        <v/>
      </c>
      <c r="F123" s="28"/>
      <c r="G123" s="30"/>
      <c r="H123" s="28"/>
      <c r="I123" s="30"/>
      <c r="J123" s="30"/>
      <c r="K123" s="30" t="str">
        <f>IFERROR(VLOOKUP(C123,T_CÓDIGO[#All],3,FALSE),"")</f>
        <v/>
      </c>
      <c r="L123" s="28"/>
      <c r="M123" s="28"/>
      <c r="N123" s="30"/>
    </row>
    <row r="124" spans="1:14" s="2" customFormat="1" ht="15" thickBot="1" x14ac:dyDescent="0.35">
      <c r="A124" s="29"/>
      <c r="B124" s="30">
        <f t="shared" si="1"/>
        <v>1</v>
      </c>
      <c r="C124" s="28"/>
      <c r="D124" s="35" t="str">
        <f>IFERROR(VLOOKUP(C124,T_CÓDIGO[#All],4,FALSE),"")</f>
        <v/>
      </c>
      <c r="E124" s="30" t="str">
        <f>IFERROR(VLOOKUP(C124,T_CÓDIGO[#All],6,FALSE),"")</f>
        <v/>
      </c>
      <c r="F124" s="28"/>
      <c r="G124" s="30"/>
      <c r="H124" s="28"/>
      <c r="I124" s="30"/>
      <c r="J124" s="30"/>
      <c r="K124" s="30" t="str">
        <f>IFERROR(VLOOKUP(C124,T_CÓDIGO[#All],3,FALSE),"")</f>
        <v/>
      </c>
      <c r="L124" s="28"/>
      <c r="M124" s="28"/>
      <c r="N124" s="30"/>
    </row>
    <row r="125" spans="1:14" s="2" customFormat="1" ht="15" thickBot="1" x14ac:dyDescent="0.35">
      <c r="A125" s="29"/>
      <c r="B125" s="30">
        <f t="shared" si="1"/>
        <v>1</v>
      </c>
      <c r="C125" s="28"/>
      <c r="D125" s="35" t="str">
        <f>IFERROR(VLOOKUP(C125,T_CÓDIGO[#All],4,FALSE),"")</f>
        <v/>
      </c>
      <c r="E125" s="30" t="str">
        <f>IFERROR(VLOOKUP(C125,T_CÓDIGO[#All],6,FALSE),"")</f>
        <v/>
      </c>
      <c r="F125" s="28"/>
      <c r="G125" s="30"/>
      <c r="H125" s="28"/>
      <c r="I125" s="30"/>
      <c r="J125" s="30"/>
      <c r="K125" s="30" t="str">
        <f>IFERROR(VLOOKUP(C125,T_CÓDIGO[#All],3,FALSE),"")</f>
        <v/>
      </c>
      <c r="L125" s="28"/>
      <c r="M125" s="28"/>
      <c r="N125" s="30"/>
    </row>
    <row r="126" spans="1:14" s="2" customFormat="1" ht="15" thickBot="1" x14ac:dyDescent="0.35">
      <c r="A126" s="29"/>
      <c r="B126" s="30">
        <f t="shared" si="1"/>
        <v>1</v>
      </c>
      <c r="C126" s="28"/>
      <c r="D126" s="35" t="str">
        <f>IFERROR(VLOOKUP(C126,T_CÓDIGO[#All],4,FALSE),"")</f>
        <v/>
      </c>
      <c r="E126" s="30" t="str">
        <f>IFERROR(VLOOKUP(C126,T_CÓDIGO[#All],6,FALSE),"")</f>
        <v/>
      </c>
      <c r="F126" s="28"/>
      <c r="G126" s="30"/>
      <c r="H126" s="28"/>
      <c r="I126" s="30"/>
      <c r="J126" s="30"/>
      <c r="K126" s="30" t="str">
        <f>IFERROR(VLOOKUP(C126,T_CÓDIGO[#All],3,FALSE),"")</f>
        <v/>
      </c>
      <c r="L126" s="28"/>
      <c r="M126" s="28"/>
      <c r="N126" s="30"/>
    </row>
    <row r="127" spans="1:14" s="2" customFormat="1" ht="15" thickBot="1" x14ac:dyDescent="0.35">
      <c r="A127" s="29"/>
      <c r="B127" s="30">
        <f t="shared" si="1"/>
        <v>1</v>
      </c>
      <c r="C127" s="28"/>
      <c r="D127" s="35" t="str">
        <f>IFERROR(VLOOKUP(C127,T_CÓDIGO[#All],4,FALSE),"")</f>
        <v/>
      </c>
      <c r="E127" s="30" t="str">
        <f>IFERROR(VLOOKUP(C127,T_CÓDIGO[#All],6,FALSE),"")</f>
        <v/>
      </c>
      <c r="F127" s="28"/>
      <c r="G127" s="30"/>
      <c r="H127" s="28"/>
      <c r="I127" s="30"/>
      <c r="J127" s="30"/>
      <c r="K127" s="30" t="str">
        <f>IFERROR(VLOOKUP(C127,T_CÓDIGO[#All],3,FALSE),"")</f>
        <v/>
      </c>
      <c r="L127" s="28"/>
      <c r="M127" s="28"/>
      <c r="N127" s="30"/>
    </row>
    <row r="128" spans="1:14" s="2" customFormat="1" ht="15" thickBot="1" x14ac:dyDescent="0.35">
      <c r="A128" s="29"/>
      <c r="B128" s="30">
        <f t="shared" si="1"/>
        <v>1</v>
      </c>
      <c r="C128" s="28"/>
      <c r="D128" s="35" t="str">
        <f>IFERROR(VLOOKUP(C128,T_CÓDIGO[#All],4,FALSE),"")</f>
        <v/>
      </c>
      <c r="E128" s="30" t="str">
        <f>IFERROR(VLOOKUP(C128,T_CÓDIGO[#All],6,FALSE),"")</f>
        <v/>
      </c>
      <c r="F128" s="28"/>
      <c r="G128" s="30"/>
      <c r="H128" s="28"/>
      <c r="I128" s="30"/>
      <c r="J128" s="30"/>
      <c r="K128" s="30" t="str">
        <f>IFERROR(VLOOKUP(C128,T_CÓDIGO[#All],3,FALSE),"")</f>
        <v/>
      </c>
      <c r="L128" s="28"/>
      <c r="M128" s="28"/>
      <c r="N128" s="30"/>
    </row>
    <row r="129" spans="1:14" s="2" customFormat="1" ht="15" thickBot="1" x14ac:dyDescent="0.35">
      <c r="A129" s="29"/>
      <c r="B129" s="30">
        <f t="shared" si="1"/>
        <v>1</v>
      </c>
      <c r="C129" s="28"/>
      <c r="D129" s="35" t="str">
        <f>IFERROR(VLOOKUP(C129,T_CÓDIGO[#All],4,FALSE),"")</f>
        <v/>
      </c>
      <c r="E129" s="30" t="str">
        <f>IFERROR(VLOOKUP(C129,T_CÓDIGO[#All],6,FALSE),"")</f>
        <v/>
      </c>
      <c r="F129" s="28"/>
      <c r="G129" s="30"/>
      <c r="H129" s="28"/>
      <c r="I129" s="30"/>
      <c r="J129" s="30"/>
      <c r="K129" s="30" t="str">
        <f>IFERROR(VLOOKUP(C129,T_CÓDIGO[#All],3,FALSE),"")</f>
        <v/>
      </c>
      <c r="L129" s="28"/>
      <c r="M129" s="28"/>
      <c r="N129" s="30"/>
    </row>
    <row r="130" spans="1:14" s="2" customFormat="1" ht="15" thickBot="1" x14ac:dyDescent="0.35">
      <c r="A130" s="29"/>
      <c r="B130" s="30">
        <f t="shared" si="1"/>
        <v>1</v>
      </c>
      <c r="C130" s="28"/>
      <c r="D130" s="35" t="str">
        <f>IFERROR(VLOOKUP(C130,T_CÓDIGO[#All],4,FALSE),"")</f>
        <v/>
      </c>
      <c r="E130" s="30" t="str">
        <f>IFERROR(VLOOKUP(C130,T_CÓDIGO[#All],6,FALSE),"")</f>
        <v/>
      </c>
      <c r="F130" s="28"/>
      <c r="G130" s="30"/>
      <c r="H130" s="28"/>
      <c r="I130" s="30"/>
      <c r="J130" s="30"/>
      <c r="K130" s="30" t="str">
        <f>IFERROR(VLOOKUP(C130,T_CÓDIGO[#All],3,FALSE),"")</f>
        <v/>
      </c>
      <c r="L130" s="28"/>
      <c r="M130" s="28"/>
      <c r="N130" s="30"/>
    </row>
    <row r="131" spans="1:14" s="2" customFormat="1" ht="15" thickBot="1" x14ac:dyDescent="0.35">
      <c r="A131" s="29"/>
      <c r="B131" s="30">
        <f t="shared" si="1"/>
        <v>1</v>
      </c>
      <c r="C131" s="28"/>
      <c r="D131" s="35" t="str">
        <f>IFERROR(VLOOKUP(C131,T_CÓDIGO[#All],4,FALSE),"")</f>
        <v/>
      </c>
      <c r="E131" s="30" t="str">
        <f>IFERROR(VLOOKUP(C131,T_CÓDIGO[#All],6,FALSE),"")</f>
        <v/>
      </c>
      <c r="F131" s="28"/>
      <c r="G131" s="30"/>
      <c r="H131" s="28"/>
      <c r="I131" s="30"/>
      <c r="J131" s="30"/>
      <c r="K131" s="30" t="str">
        <f>IFERROR(VLOOKUP(C131,T_CÓDIGO[#All],3,FALSE),"")</f>
        <v/>
      </c>
      <c r="L131" s="28"/>
      <c r="M131" s="28"/>
      <c r="N131" s="30"/>
    </row>
    <row r="132" spans="1:14" s="2" customFormat="1" ht="15" thickBot="1" x14ac:dyDescent="0.35">
      <c r="A132" s="29"/>
      <c r="B132" s="30">
        <f t="shared" si="1"/>
        <v>1</v>
      </c>
      <c r="C132" s="28"/>
      <c r="D132" s="35" t="str">
        <f>IFERROR(VLOOKUP(C132,T_CÓDIGO[#All],4,FALSE),"")</f>
        <v/>
      </c>
      <c r="E132" s="30" t="str">
        <f>IFERROR(VLOOKUP(C132,T_CÓDIGO[#All],6,FALSE),"")</f>
        <v/>
      </c>
      <c r="F132" s="28"/>
      <c r="G132" s="30"/>
      <c r="H132" s="28"/>
      <c r="I132" s="30"/>
      <c r="J132" s="30"/>
      <c r="K132" s="30" t="str">
        <f>IFERROR(VLOOKUP(C132,T_CÓDIGO[#All],3,FALSE),"")</f>
        <v/>
      </c>
      <c r="L132" s="28"/>
      <c r="M132" s="28"/>
      <c r="N132" s="30"/>
    </row>
    <row r="133" spans="1:14" s="2" customFormat="1" ht="15" thickBot="1" x14ac:dyDescent="0.35">
      <c r="A133" s="29"/>
      <c r="B133" s="30">
        <f t="shared" si="1"/>
        <v>1</v>
      </c>
      <c r="C133" s="28"/>
      <c r="D133" s="35" t="str">
        <f>IFERROR(VLOOKUP(C133,T_CÓDIGO[#All],4,FALSE),"")</f>
        <v/>
      </c>
      <c r="E133" s="30" t="str">
        <f>IFERROR(VLOOKUP(C133,T_CÓDIGO[#All],6,FALSE),"")</f>
        <v/>
      </c>
      <c r="F133" s="28"/>
      <c r="G133" s="30"/>
      <c r="H133" s="28"/>
      <c r="I133" s="30"/>
      <c r="J133" s="30"/>
      <c r="K133" s="30" t="str">
        <f>IFERROR(VLOOKUP(C133,T_CÓDIGO[#All],3,FALSE),"")</f>
        <v/>
      </c>
      <c r="L133" s="28"/>
      <c r="M133" s="28"/>
      <c r="N133" s="30"/>
    </row>
    <row r="134" spans="1:14" s="2" customFormat="1" ht="15" thickBot="1" x14ac:dyDescent="0.35">
      <c r="A134" s="29"/>
      <c r="B134" s="30">
        <f t="shared" si="1"/>
        <v>1</v>
      </c>
      <c r="C134" s="28"/>
      <c r="D134" s="35" t="str">
        <f>IFERROR(VLOOKUP(C134,T_CÓDIGO[#All],4,FALSE),"")</f>
        <v/>
      </c>
      <c r="E134" s="30" t="str">
        <f>IFERROR(VLOOKUP(C134,T_CÓDIGO[#All],6,FALSE),"")</f>
        <v/>
      </c>
      <c r="F134" s="28"/>
      <c r="G134" s="30"/>
      <c r="H134" s="28"/>
      <c r="I134" s="30"/>
      <c r="J134" s="30"/>
      <c r="K134" s="30" t="str">
        <f>IFERROR(VLOOKUP(C134,T_CÓDIGO[#All],3,FALSE),"")</f>
        <v/>
      </c>
      <c r="L134" s="28"/>
      <c r="M134" s="28"/>
      <c r="N134" s="30"/>
    </row>
    <row r="135" spans="1:14" s="2" customFormat="1" ht="15" thickBot="1" x14ac:dyDescent="0.35">
      <c r="A135" s="29"/>
      <c r="B135" s="30">
        <f t="shared" si="1"/>
        <v>1</v>
      </c>
      <c r="C135" s="28"/>
      <c r="D135" s="35" t="str">
        <f>IFERROR(VLOOKUP(C135,T_CÓDIGO[#All],4,FALSE),"")</f>
        <v/>
      </c>
      <c r="E135" s="30" t="str">
        <f>IFERROR(VLOOKUP(C135,T_CÓDIGO[#All],6,FALSE),"")</f>
        <v/>
      </c>
      <c r="F135" s="28"/>
      <c r="G135" s="30"/>
      <c r="H135" s="28"/>
      <c r="I135" s="30"/>
      <c r="J135" s="30"/>
      <c r="K135" s="30" t="str">
        <f>IFERROR(VLOOKUP(C135,T_CÓDIGO[#All],3,FALSE),"")</f>
        <v/>
      </c>
      <c r="L135" s="28"/>
      <c r="M135" s="28"/>
      <c r="N135" s="30"/>
    </row>
    <row r="136" spans="1:14" s="2" customFormat="1" ht="15" thickBot="1" x14ac:dyDescent="0.35">
      <c r="A136" s="29"/>
      <c r="B136" s="30">
        <f t="shared" si="1"/>
        <v>1</v>
      </c>
      <c r="C136" s="28"/>
      <c r="D136" s="35" t="str">
        <f>IFERROR(VLOOKUP(C136,T_CÓDIGO[#All],4,FALSE),"")</f>
        <v/>
      </c>
      <c r="E136" s="30" t="str">
        <f>IFERROR(VLOOKUP(C136,T_CÓDIGO[#All],6,FALSE),"")</f>
        <v/>
      </c>
      <c r="F136" s="28"/>
      <c r="G136" s="30"/>
      <c r="H136" s="28"/>
      <c r="I136" s="30"/>
      <c r="J136" s="30"/>
      <c r="K136" s="30" t="str">
        <f>IFERROR(VLOOKUP(C136,T_CÓDIGO[#All],3,FALSE),"")</f>
        <v/>
      </c>
      <c r="L136" s="28"/>
      <c r="M136" s="28"/>
      <c r="N136" s="30"/>
    </row>
    <row r="137" spans="1:14" s="2" customFormat="1" ht="15" thickBot="1" x14ac:dyDescent="0.35">
      <c r="A137" s="29"/>
      <c r="B137" s="30">
        <f t="shared" si="1"/>
        <v>1</v>
      </c>
      <c r="C137" s="28"/>
      <c r="D137" s="35" t="str">
        <f>IFERROR(VLOOKUP(C137,T_CÓDIGO[#All],4,FALSE),"")</f>
        <v/>
      </c>
      <c r="E137" s="30" t="str">
        <f>IFERROR(VLOOKUP(C137,T_CÓDIGO[#All],6,FALSE),"")</f>
        <v/>
      </c>
      <c r="F137" s="28"/>
      <c r="G137" s="30"/>
      <c r="H137" s="28"/>
      <c r="I137" s="30"/>
      <c r="J137" s="30"/>
      <c r="K137" s="30" t="str">
        <f>IFERROR(VLOOKUP(C137,T_CÓDIGO[#All],3,FALSE),"")</f>
        <v/>
      </c>
      <c r="L137" s="28"/>
      <c r="M137" s="28"/>
      <c r="N137" s="30"/>
    </row>
    <row r="138" spans="1:14" s="2" customFormat="1" ht="15" thickBot="1" x14ac:dyDescent="0.35">
      <c r="A138" s="29"/>
      <c r="B138" s="30">
        <f t="shared" ref="B138:B201" si="2">MONTH(A138)</f>
        <v>1</v>
      </c>
      <c r="C138" s="28"/>
      <c r="D138" s="35" t="str">
        <f>IFERROR(VLOOKUP(C138,T_CÓDIGO[#All],4,FALSE),"")</f>
        <v/>
      </c>
      <c r="E138" s="30" t="str">
        <f>IFERROR(VLOOKUP(C138,T_CÓDIGO[#All],6,FALSE),"")</f>
        <v/>
      </c>
      <c r="F138" s="28"/>
      <c r="G138" s="30"/>
      <c r="H138" s="28"/>
      <c r="I138" s="30"/>
      <c r="J138" s="30"/>
      <c r="K138" s="30" t="str">
        <f>IFERROR(VLOOKUP(C138,T_CÓDIGO[#All],3,FALSE),"")</f>
        <v/>
      </c>
      <c r="L138" s="28"/>
      <c r="M138" s="28"/>
      <c r="N138" s="30"/>
    </row>
    <row r="139" spans="1:14" s="2" customFormat="1" ht="15" thickBot="1" x14ac:dyDescent="0.35">
      <c r="A139" s="29"/>
      <c r="B139" s="30">
        <f t="shared" si="2"/>
        <v>1</v>
      </c>
      <c r="C139" s="28"/>
      <c r="D139" s="35" t="str">
        <f>IFERROR(VLOOKUP(C139,T_CÓDIGO[#All],4,FALSE),"")</f>
        <v/>
      </c>
      <c r="E139" s="30" t="str">
        <f>IFERROR(VLOOKUP(C139,T_CÓDIGO[#All],6,FALSE),"")</f>
        <v/>
      </c>
      <c r="F139" s="28"/>
      <c r="G139" s="30"/>
      <c r="H139" s="28"/>
      <c r="I139" s="30"/>
      <c r="J139" s="30"/>
      <c r="K139" s="30" t="str">
        <f>IFERROR(VLOOKUP(C139,T_CÓDIGO[#All],3,FALSE),"")</f>
        <v/>
      </c>
      <c r="L139" s="28"/>
      <c r="M139" s="28"/>
      <c r="N139" s="30"/>
    </row>
    <row r="140" spans="1:14" s="2" customFormat="1" ht="15" thickBot="1" x14ac:dyDescent="0.35">
      <c r="A140" s="29"/>
      <c r="B140" s="30">
        <f t="shared" si="2"/>
        <v>1</v>
      </c>
      <c r="C140" s="28"/>
      <c r="D140" s="35" t="str">
        <f>IFERROR(VLOOKUP(C140,T_CÓDIGO[#All],4,FALSE),"")</f>
        <v/>
      </c>
      <c r="E140" s="30" t="str">
        <f>IFERROR(VLOOKUP(C140,T_CÓDIGO[#All],6,FALSE),"")</f>
        <v/>
      </c>
      <c r="F140" s="28"/>
      <c r="G140" s="30"/>
      <c r="H140" s="28"/>
      <c r="I140" s="30"/>
      <c r="J140" s="30"/>
      <c r="K140" s="30" t="str">
        <f>IFERROR(VLOOKUP(C140,T_CÓDIGO[#All],3,FALSE),"")</f>
        <v/>
      </c>
      <c r="L140" s="28"/>
      <c r="M140" s="28"/>
      <c r="N140" s="30"/>
    </row>
    <row r="141" spans="1:14" s="2" customFormat="1" ht="15" thickBot="1" x14ac:dyDescent="0.35">
      <c r="A141" s="29"/>
      <c r="B141" s="30">
        <f t="shared" si="2"/>
        <v>1</v>
      </c>
      <c r="C141" s="28"/>
      <c r="D141" s="35" t="str">
        <f>IFERROR(VLOOKUP(C141,T_CÓDIGO[#All],4,FALSE),"")</f>
        <v/>
      </c>
      <c r="E141" s="30" t="str">
        <f>IFERROR(VLOOKUP(C141,T_CÓDIGO[#All],6,FALSE),"")</f>
        <v/>
      </c>
      <c r="F141" s="28"/>
      <c r="G141" s="30"/>
      <c r="H141" s="28"/>
      <c r="I141" s="30"/>
      <c r="J141" s="30"/>
      <c r="K141" s="30" t="str">
        <f>IFERROR(VLOOKUP(C141,T_CÓDIGO[#All],3,FALSE),"")</f>
        <v/>
      </c>
      <c r="L141" s="28"/>
      <c r="M141" s="28"/>
      <c r="N141" s="30"/>
    </row>
    <row r="142" spans="1:14" s="2" customFormat="1" ht="15" thickBot="1" x14ac:dyDescent="0.35">
      <c r="A142" s="29"/>
      <c r="B142" s="30">
        <f t="shared" si="2"/>
        <v>1</v>
      </c>
      <c r="C142" s="28"/>
      <c r="D142" s="35" t="str">
        <f>IFERROR(VLOOKUP(C142,T_CÓDIGO[#All],4,FALSE),"")</f>
        <v/>
      </c>
      <c r="E142" s="30" t="str">
        <f>IFERROR(VLOOKUP(C142,T_CÓDIGO[#All],6,FALSE),"")</f>
        <v/>
      </c>
      <c r="F142" s="28"/>
      <c r="G142" s="30"/>
      <c r="H142" s="28"/>
      <c r="I142" s="30"/>
      <c r="J142" s="30"/>
      <c r="K142" s="30" t="str">
        <f>IFERROR(VLOOKUP(C142,T_CÓDIGO[#All],3,FALSE),"")</f>
        <v/>
      </c>
      <c r="L142" s="28"/>
      <c r="M142" s="28"/>
      <c r="N142" s="30"/>
    </row>
    <row r="143" spans="1:14" s="2" customFormat="1" ht="15" thickBot="1" x14ac:dyDescent="0.35">
      <c r="A143" s="29"/>
      <c r="B143" s="30">
        <f t="shared" si="2"/>
        <v>1</v>
      </c>
      <c r="C143" s="28"/>
      <c r="D143" s="35" t="str">
        <f>IFERROR(VLOOKUP(C143,T_CÓDIGO[#All],4,FALSE),"")</f>
        <v/>
      </c>
      <c r="E143" s="30" t="str">
        <f>IFERROR(VLOOKUP(C143,T_CÓDIGO[#All],6,FALSE),"")</f>
        <v/>
      </c>
      <c r="F143" s="28"/>
      <c r="G143" s="30"/>
      <c r="H143" s="28"/>
      <c r="I143" s="30"/>
      <c r="J143" s="30"/>
      <c r="K143" s="30" t="str">
        <f>IFERROR(VLOOKUP(C143,T_CÓDIGO[#All],3,FALSE),"")</f>
        <v/>
      </c>
      <c r="L143" s="28"/>
      <c r="M143" s="28"/>
      <c r="N143" s="30"/>
    </row>
    <row r="144" spans="1:14" s="2" customFormat="1" ht="15" thickBot="1" x14ac:dyDescent="0.35">
      <c r="A144" s="29"/>
      <c r="B144" s="30">
        <f t="shared" si="2"/>
        <v>1</v>
      </c>
      <c r="C144" s="28"/>
      <c r="D144" s="35" t="str">
        <f>IFERROR(VLOOKUP(C144,T_CÓDIGO[#All],4,FALSE),"")</f>
        <v/>
      </c>
      <c r="E144" s="30" t="str">
        <f>IFERROR(VLOOKUP(C144,T_CÓDIGO[#All],6,FALSE),"")</f>
        <v/>
      </c>
      <c r="F144" s="28"/>
      <c r="G144" s="30"/>
      <c r="H144" s="28"/>
      <c r="I144" s="30"/>
      <c r="J144" s="30"/>
      <c r="K144" s="30" t="str">
        <f>IFERROR(VLOOKUP(C144,T_CÓDIGO[#All],3,FALSE),"")</f>
        <v/>
      </c>
      <c r="L144" s="28"/>
      <c r="M144" s="28"/>
      <c r="N144" s="30"/>
    </row>
    <row r="145" spans="1:14" s="2" customFormat="1" ht="15" thickBot="1" x14ac:dyDescent="0.35">
      <c r="A145" s="29"/>
      <c r="B145" s="30">
        <f t="shared" si="2"/>
        <v>1</v>
      </c>
      <c r="C145" s="28"/>
      <c r="D145" s="35" t="str">
        <f>IFERROR(VLOOKUP(C145,T_CÓDIGO[#All],4,FALSE),"")</f>
        <v/>
      </c>
      <c r="E145" s="30" t="str">
        <f>IFERROR(VLOOKUP(C145,T_CÓDIGO[#All],6,FALSE),"")</f>
        <v/>
      </c>
      <c r="F145" s="28"/>
      <c r="G145" s="30"/>
      <c r="H145" s="28"/>
      <c r="I145" s="30"/>
      <c r="J145" s="30"/>
      <c r="K145" s="30" t="str">
        <f>IFERROR(VLOOKUP(C145,T_CÓDIGO[#All],3,FALSE),"")</f>
        <v/>
      </c>
      <c r="L145" s="28"/>
      <c r="M145" s="28"/>
      <c r="N145" s="30"/>
    </row>
    <row r="146" spans="1:14" s="2" customFormat="1" ht="15" thickBot="1" x14ac:dyDescent="0.35">
      <c r="A146" s="29"/>
      <c r="B146" s="30">
        <f t="shared" si="2"/>
        <v>1</v>
      </c>
      <c r="C146" s="28"/>
      <c r="D146" s="35" t="str">
        <f>IFERROR(VLOOKUP(C146,T_CÓDIGO[#All],4,FALSE),"")</f>
        <v/>
      </c>
      <c r="E146" s="30" t="str">
        <f>IFERROR(VLOOKUP(C146,T_CÓDIGO[#All],6,FALSE),"")</f>
        <v/>
      </c>
      <c r="F146" s="28"/>
      <c r="G146" s="30"/>
      <c r="H146" s="28"/>
      <c r="I146" s="30"/>
      <c r="J146" s="30"/>
      <c r="K146" s="30" t="str">
        <f>IFERROR(VLOOKUP(C146,T_CÓDIGO[#All],3,FALSE),"")</f>
        <v/>
      </c>
      <c r="L146" s="28"/>
      <c r="M146" s="28"/>
      <c r="N146" s="30"/>
    </row>
    <row r="147" spans="1:14" s="2" customFormat="1" ht="15" thickBot="1" x14ac:dyDescent="0.35">
      <c r="A147" s="29"/>
      <c r="B147" s="30">
        <f t="shared" si="2"/>
        <v>1</v>
      </c>
      <c r="C147" s="28"/>
      <c r="D147" s="35" t="str">
        <f>IFERROR(VLOOKUP(C147,T_CÓDIGO[#All],4,FALSE),"")</f>
        <v/>
      </c>
      <c r="E147" s="30" t="str">
        <f>IFERROR(VLOOKUP(C147,T_CÓDIGO[#All],6,FALSE),"")</f>
        <v/>
      </c>
      <c r="F147" s="28"/>
      <c r="G147" s="30"/>
      <c r="H147" s="28"/>
      <c r="I147" s="30"/>
      <c r="J147" s="30"/>
      <c r="K147" s="30" t="str">
        <f>IFERROR(VLOOKUP(C147,T_CÓDIGO[#All],3,FALSE),"")</f>
        <v/>
      </c>
      <c r="L147" s="28"/>
      <c r="M147" s="28"/>
      <c r="N147" s="30"/>
    </row>
    <row r="148" spans="1:14" s="2" customFormat="1" ht="15" thickBot="1" x14ac:dyDescent="0.35">
      <c r="A148" s="29"/>
      <c r="B148" s="30">
        <f t="shared" si="2"/>
        <v>1</v>
      </c>
      <c r="C148" s="28"/>
      <c r="D148" s="35" t="str">
        <f>IFERROR(VLOOKUP(C148,T_CÓDIGO[#All],4,FALSE),"")</f>
        <v/>
      </c>
      <c r="E148" s="30" t="str">
        <f>IFERROR(VLOOKUP(C148,T_CÓDIGO[#All],6,FALSE),"")</f>
        <v/>
      </c>
      <c r="F148" s="28"/>
      <c r="G148" s="30"/>
      <c r="H148" s="28"/>
      <c r="I148" s="30"/>
      <c r="J148" s="30"/>
      <c r="K148" s="30" t="str">
        <f>IFERROR(VLOOKUP(C148,T_CÓDIGO[#All],3,FALSE),"")</f>
        <v/>
      </c>
      <c r="L148" s="28"/>
      <c r="M148" s="28"/>
      <c r="N148" s="30"/>
    </row>
    <row r="149" spans="1:14" s="2" customFormat="1" ht="15" thickBot="1" x14ac:dyDescent="0.35">
      <c r="A149" s="29"/>
      <c r="B149" s="30">
        <f t="shared" si="2"/>
        <v>1</v>
      </c>
      <c r="C149" s="28"/>
      <c r="D149" s="35" t="str">
        <f>IFERROR(VLOOKUP(C149,T_CÓDIGO[#All],4,FALSE),"")</f>
        <v/>
      </c>
      <c r="E149" s="30" t="str">
        <f>IFERROR(VLOOKUP(C149,T_CÓDIGO[#All],6,FALSE),"")</f>
        <v/>
      </c>
      <c r="F149" s="28"/>
      <c r="G149" s="30"/>
      <c r="H149" s="28"/>
      <c r="I149" s="30"/>
      <c r="J149" s="30"/>
      <c r="K149" s="30" t="str">
        <f>IFERROR(VLOOKUP(C149,T_CÓDIGO[#All],3,FALSE),"")</f>
        <v/>
      </c>
      <c r="L149" s="28"/>
      <c r="M149" s="28"/>
      <c r="N149" s="30"/>
    </row>
    <row r="150" spans="1:14" s="2" customFormat="1" ht="15" thickBot="1" x14ac:dyDescent="0.35">
      <c r="A150" s="29"/>
      <c r="B150" s="30">
        <f t="shared" si="2"/>
        <v>1</v>
      </c>
      <c r="C150" s="28"/>
      <c r="D150" s="35" t="str">
        <f>IFERROR(VLOOKUP(C150,T_CÓDIGO[#All],4,FALSE),"")</f>
        <v/>
      </c>
      <c r="E150" s="30" t="str">
        <f>IFERROR(VLOOKUP(C150,T_CÓDIGO[#All],6,FALSE),"")</f>
        <v/>
      </c>
      <c r="F150" s="28"/>
      <c r="G150" s="30"/>
      <c r="H150" s="28"/>
      <c r="I150" s="30"/>
      <c r="J150" s="30"/>
      <c r="K150" s="30" t="str">
        <f>IFERROR(VLOOKUP(C150,T_CÓDIGO[#All],3,FALSE),"")</f>
        <v/>
      </c>
      <c r="L150" s="28"/>
      <c r="M150" s="28"/>
      <c r="N150" s="30"/>
    </row>
    <row r="151" spans="1:14" s="2" customFormat="1" ht="15" thickBot="1" x14ac:dyDescent="0.35">
      <c r="A151" s="29"/>
      <c r="B151" s="30">
        <f t="shared" si="2"/>
        <v>1</v>
      </c>
      <c r="C151" s="28"/>
      <c r="D151" s="35" t="str">
        <f>IFERROR(VLOOKUP(C151,T_CÓDIGO[#All],4,FALSE),"")</f>
        <v/>
      </c>
      <c r="E151" s="30" t="str">
        <f>IFERROR(VLOOKUP(C151,T_CÓDIGO[#All],6,FALSE),"")</f>
        <v/>
      </c>
      <c r="F151" s="28"/>
      <c r="G151" s="30"/>
      <c r="H151" s="28"/>
      <c r="I151" s="30"/>
      <c r="J151" s="30"/>
      <c r="K151" s="30" t="str">
        <f>IFERROR(VLOOKUP(C151,T_CÓDIGO[#All],3,FALSE),"")</f>
        <v/>
      </c>
      <c r="L151" s="28"/>
      <c r="M151" s="28"/>
      <c r="N151" s="30"/>
    </row>
    <row r="152" spans="1:14" s="2" customFormat="1" ht="15" thickBot="1" x14ac:dyDescent="0.35">
      <c r="A152" s="29"/>
      <c r="B152" s="30">
        <f t="shared" si="2"/>
        <v>1</v>
      </c>
      <c r="C152" s="28"/>
      <c r="D152" s="35" t="str">
        <f>IFERROR(VLOOKUP(C152,T_CÓDIGO[#All],4,FALSE),"")</f>
        <v/>
      </c>
      <c r="E152" s="30" t="str">
        <f>IFERROR(VLOOKUP(C152,T_CÓDIGO[#All],6,FALSE),"")</f>
        <v/>
      </c>
      <c r="F152" s="28"/>
      <c r="G152" s="30"/>
      <c r="H152" s="28"/>
      <c r="I152" s="30"/>
      <c r="J152" s="30"/>
      <c r="K152" s="30" t="str">
        <f>IFERROR(VLOOKUP(C152,T_CÓDIGO[#All],3,FALSE),"")</f>
        <v/>
      </c>
      <c r="L152" s="28"/>
      <c r="M152" s="28"/>
      <c r="N152" s="30"/>
    </row>
    <row r="153" spans="1:14" s="2" customFormat="1" ht="15" thickBot="1" x14ac:dyDescent="0.35">
      <c r="A153" s="29"/>
      <c r="B153" s="30">
        <f t="shared" si="2"/>
        <v>1</v>
      </c>
      <c r="C153" s="28"/>
      <c r="D153" s="35" t="str">
        <f>IFERROR(VLOOKUP(C153,T_CÓDIGO[#All],4,FALSE),"")</f>
        <v/>
      </c>
      <c r="E153" s="30" t="str">
        <f>IFERROR(VLOOKUP(C153,T_CÓDIGO[#All],6,FALSE),"")</f>
        <v/>
      </c>
      <c r="F153" s="28"/>
      <c r="G153" s="30"/>
      <c r="H153" s="28"/>
      <c r="I153" s="30"/>
      <c r="J153" s="30"/>
      <c r="K153" s="30" t="str">
        <f>IFERROR(VLOOKUP(C153,T_CÓDIGO[#All],3,FALSE),"")</f>
        <v/>
      </c>
      <c r="L153" s="28"/>
      <c r="M153" s="28"/>
      <c r="N153" s="30"/>
    </row>
    <row r="154" spans="1:14" s="2" customFormat="1" ht="15" thickBot="1" x14ac:dyDescent="0.35">
      <c r="A154" s="29"/>
      <c r="B154" s="30">
        <f t="shared" si="2"/>
        <v>1</v>
      </c>
      <c r="C154" s="28"/>
      <c r="D154" s="35" t="str">
        <f>IFERROR(VLOOKUP(C154,T_CÓDIGO[#All],4,FALSE),"")</f>
        <v/>
      </c>
      <c r="E154" s="30" t="str">
        <f>IFERROR(VLOOKUP(C154,T_CÓDIGO[#All],6,FALSE),"")</f>
        <v/>
      </c>
      <c r="F154" s="28"/>
      <c r="G154" s="30"/>
      <c r="H154" s="28"/>
      <c r="I154" s="30"/>
      <c r="J154" s="30"/>
      <c r="K154" s="30" t="str">
        <f>IFERROR(VLOOKUP(C154,T_CÓDIGO[#All],3,FALSE),"")</f>
        <v/>
      </c>
      <c r="L154" s="28"/>
      <c r="M154" s="28"/>
      <c r="N154" s="30"/>
    </row>
    <row r="155" spans="1:14" s="2" customFormat="1" ht="15" thickBot="1" x14ac:dyDescent="0.35">
      <c r="A155" s="29"/>
      <c r="B155" s="30">
        <f t="shared" si="2"/>
        <v>1</v>
      </c>
      <c r="C155" s="28"/>
      <c r="D155" s="35" t="str">
        <f>IFERROR(VLOOKUP(C155,T_CÓDIGO[#All],4,FALSE),"")</f>
        <v/>
      </c>
      <c r="E155" s="30" t="str">
        <f>IFERROR(VLOOKUP(C155,T_CÓDIGO[#All],6,FALSE),"")</f>
        <v/>
      </c>
      <c r="F155" s="28"/>
      <c r="G155" s="30"/>
      <c r="H155" s="28"/>
      <c r="I155" s="30"/>
      <c r="J155" s="30"/>
      <c r="K155" s="30" t="str">
        <f>IFERROR(VLOOKUP(C155,T_CÓDIGO[#All],3,FALSE),"")</f>
        <v/>
      </c>
      <c r="L155" s="28"/>
      <c r="M155" s="28"/>
      <c r="N155" s="30"/>
    </row>
    <row r="156" spans="1:14" s="2" customFormat="1" ht="15" thickBot="1" x14ac:dyDescent="0.35">
      <c r="A156" s="29"/>
      <c r="B156" s="30">
        <f t="shared" si="2"/>
        <v>1</v>
      </c>
      <c r="C156" s="28"/>
      <c r="D156" s="35" t="str">
        <f>IFERROR(VLOOKUP(C156,T_CÓDIGO[#All],4,FALSE),"")</f>
        <v/>
      </c>
      <c r="E156" s="30" t="str">
        <f>IFERROR(VLOOKUP(C156,T_CÓDIGO[#All],6,FALSE),"")</f>
        <v/>
      </c>
      <c r="F156" s="28"/>
      <c r="G156" s="30"/>
      <c r="H156" s="28"/>
      <c r="I156" s="30"/>
      <c r="J156" s="30"/>
      <c r="K156" s="30" t="str">
        <f>IFERROR(VLOOKUP(C156,T_CÓDIGO[#All],3,FALSE),"")</f>
        <v/>
      </c>
      <c r="L156" s="28"/>
      <c r="M156" s="28"/>
      <c r="N156" s="30"/>
    </row>
    <row r="157" spans="1:14" s="2" customFormat="1" ht="15" thickBot="1" x14ac:dyDescent="0.35">
      <c r="A157" s="29"/>
      <c r="B157" s="30">
        <f t="shared" si="2"/>
        <v>1</v>
      </c>
      <c r="C157" s="28"/>
      <c r="D157" s="35" t="str">
        <f>IFERROR(VLOOKUP(C157,T_CÓDIGO[#All],4,FALSE),"")</f>
        <v/>
      </c>
      <c r="E157" s="30" t="str">
        <f>IFERROR(VLOOKUP(C157,T_CÓDIGO[#All],6,FALSE),"")</f>
        <v/>
      </c>
      <c r="F157" s="28"/>
      <c r="G157" s="30"/>
      <c r="H157" s="28"/>
      <c r="I157" s="30"/>
      <c r="J157" s="30"/>
      <c r="K157" s="30" t="str">
        <f>IFERROR(VLOOKUP(C157,T_CÓDIGO[#All],3,FALSE),"")</f>
        <v/>
      </c>
      <c r="L157" s="28"/>
      <c r="M157" s="28"/>
      <c r="N157" s="30"/>
    </row>
    <row r="158" spans="1:14" s="2" customFormat="1" ht="15" thickBot="1" x14ac:dyDescent="0.35">
      <c r="A158" s="29"/>
      <c r="B158" s="30">
        <f t="shared" si="2"/>
        <v>1</v>
      </c>
      <c r="C158" s="28"/>
      <c r="D158" s="35" t="str">
        <f>IFERROR(VLOOKUP(C158,T_CÓDIGO[#All],4,FALSE),"")</f>
        <v/>
      </c>
      <c r="E158" s="30" t="str">
        <f>IFERROR(VLOOKUP(C158,T_CÓDIGO[#All],6,FALSE),"")</f>
        <v/>
      </c>
      <c r="F158" s="28"/>
      <c r="G158" s="30"/>
      <c r="H158" s="28"/>
      <c r="I158" s="30"/>
      <c r="J158" s="30"/>
      <c r="K158" s="30" t="str">
        <f>IFERROR(VLOOKUP(C158,T_CÓDIGO[#All],3,FALSE),"")</f>
        <v/>
      </c>
      <c r="L158" s="28"/>
      <c r="M158" s="28"/>
      <c r="N158" s="30"/>
    </row>
    <row r="159" spans="1:14" s="2" customFormat="1" ht="15" thickBot="1" x14ac:dyDescent="0.35">
      <c r="A159" s="29"/>
      <c r="B159" s="30">
        <f t="shared" si="2"/>
        <v>1</v>
      </c>
      <c r="C159" s="28"/>
      <c r="D159" s="35" t="str">
        <f>IFERROR(VLOOKUP(C159,T_CÓDIGO[#All],4,FALSE),"")</f>
        <v/>
      </c>
      <c r="E159" s="30" t="str">
        <f>IFERROR(VLOOKUP(C159,T_CÓDIGO[#All],6,FALSE),"")</f>
        <v/>
      </c>
      <c r="F159" s="28"/>
      <c r="G159" s="30"/>
      <c r="H159" s="28"/>
      <c r="I159" s="30"/>
      <c r="J159" s="30"/>
      <c r="K159" s="30" t="str">
        <f>IFERROR(VLOOKUP(C159,T_CÓDIGO[#All],3,FALSE),"")</f>
        <v/>
      </c>
      <c r="L159" s="28"/>
      <c r="M159" s="28"/>
      <c r="N159" s="30"/>
    </row>
    <row r="160" spans="1:14" s="2" customFormat="1" ht="15" thickBot="1" x14ac:dyDescent="0.35">
      <c r="A160" s="29"/>
      <c r="B160" s="30">
        <f t="shared" si="2"/>
        <v>1</v>
      </c>
      <c r="C160" s="28"/>
      <c r="D160" s="35" t="str">
        <f>IFERROR(VLOOKUP(C160,T_CÓDIGO[#All],4,FALSE),"")</f>
        <v/>
      </c>
      <c r="E160" s="30" t="str">
        <f>IFERROR(VLOOKUP(C160,T_CÓDIGO[#All],6,FALSE),"")</f>
        <v/>
      </c>
      <c r="F160" s="28"/>
      <c r="G160" s="30"/>
      <c r="H160" s="28"/>
      <c r="I160" s="30"/>
      <c r="J160" s="30"/>
      <c r="K160" s="30" t="str">
        <f>IFERROR(VLOOKUP(C160,T_CÓDIGO[#All],3,FALSE),"")</f>
        <v/>
      </c>
      <c r="L160" s="28"/>
      <c r="M160" s="28"/>
      <c r="N160" s="30"/>
    </row>
    <row r="161" spans="1:14" s="2" customFormat="1" ht="15" thickBot="1" x14ac:dyDescent="0.35">
      <c r="A161" s="29"/>
      <c r="B161" s="30">
        <f t="shared" si="2"/>
        <v>1</v>
      </c>
      <c r="C161" s="28"/>
      <c r="D161" s="35" t="str">
        <f>IFERROR(VLOOKUP(C161,T_CÓDIGO[#All],4,FALSE),"")</f>
        <v/>
      </c>
      <c r="E161" s="30" t="str">
        <f>IFERROR(VLOOKUP(C161,T_CÓDIGO[#All],6,FALSE),"")</f>
        <v/>
      </c>
      <c r="F161" s="28"/>
      <c r="G161" s="30"/>
      <c r="H161" s="28"/>
      <c r="I161" s="30"/>
      <c r="J161" s="30"/>
      <c r="K161" s="30" t="str">
        <f>IFERROR(VLOOKUP(C161,T_CÓDIGO[#All],3,FALSE),"")</f>
        <v/>
      </c>
      <c r="L161" s="28"/>
      <c r="M161" s="28"/>
      <c r="N161" s="30"/>
    </row>
    <row r="162" spans="1:14" s="2" customFormat="1" ht="15" thickBot="1" x14ac:dyDescent="0.35">
      <c r="A162" s="29"/>
      <c r="B162" s="30">
        <f t="shared" si="2"/>
        <v>1</v>
      </c>
      <c r="C162" s="28"/>
      <c r="D162" s="35" t="str">
        <f>IFERROR(VLOOKUP(C162,T_CÓDIGO[#All],4,FALSE),"")</f>
        <v/>
      </c>
      <c r="E162" s="30" t="str">
        <f>IFERROR(VLOOKUP(C162,T_CÓDIGO[#All],6,FALSE),"")</f>
        <v/>
      </c>
      <c r="F162" s="28"/>
      <c r="G162" s="30"/>
      <c r="H162" s="28"/>
      <c r="I162" s="30"/>
      <c r="J162" s="30"/>
      <c r="K162" s="30" t="str">
        <f>IFERROR(VLOOKUP(C162,T_CÓDIGO[#All],3,FALSE),"")</f>
        <v/>
      </c>
      <c r="L162" s="28"/>
      <c r="M162" s="28"/>
      <c r="N162" s="30"/>
    </row>
    <row r="163" spans="1:14" s="2" customFormat="1" ht="15" thickBot="1" x14ac:dyDescent="0.35">
      <c r="A163" s="29"/>
      <c r="B163" s="30">
        <f t="shared" si="2"/>
        <v>1</v>
      </c>
      <c r="C163" s="28"/>
      <c r="D163" s="35" t="str">
        <f>IFERROR(VLOOKUP(C163,T_CÓDIGO[#All],4,FALSE),"")</f>
        <v/>
      </c>
      <c r="E163" s="30" t="str">
        <f>IFERROR(VLOOKUP(C163,T_CÓDIGO[#All],6,FALSE),"")</f>
        <v/>
      </c>
      <c r="F163" s="28"/>
      <c r="G163" s="30"/>
      <c r="H163" s="28"/>
      <c r="I163" s="30"/>
      <c r="J163" s="30"/>
      <c r="K163" s="30" t="str">
        <f>IFERROR(VLOOKUP(C163,T_CÓDIGO[#All],3,FALSE),"")</f>
        <v/>
      </c>
      <c r="L163" s="28"/>
      <c r="M163" s="28"/>
      <c r="N163" s="30"/>
    </row>
    <row r="164" spans="1:14" s="2" customFormat="1" ht="15" thickBot="1" x14ac:dyDescent="0.35">
      <c r="A164" s="29"/>
      <c r="B164" s="30">
        <f t="shared" si="2"/>
        <v>1</v>
      </c>
      <c r="C164" s="28"/>
      <c r="D164" s="35" t="str">
        <f>IFERROR(VLOOKUP(C164,T_CÓDIGO[#All],4,FALSE),"")</f>
        <v/>
      </c>
      <c r="E164" s="30" t="str">
        <f>IFERROR(VLOOKUP(C164,T_CÓDIGO[#All],6,FALSE),"")</f>
        <v/>
      </c>
      <c r="F164" s="28"/>
      <c r="G164" s="30"/>
      <c r="H164" s="28"/>
      <c r="I164" s="30"/>
      <c r="J164" s="30"/>
      <c r="K164" s="30" t="str">
        <f>IFERROR(VLOOKUP(C164,T_CÓDIGO[#All],3,FALSE),"")</f>
        <v/>
      </c>
      <c r="L164" s="28"/>
      <c r="M164" s="28"/>
      <c r="N164" s="30"/>
    </row>
    <row r="165" spans="1:14" s="2" customFormat="1" ht="15" thickBot="1" x14ac:dyDescent="0.35">
      <c r="A165" s="29"/>
      <c r="B165" s="30">
        <f t="shared" si="2"/>
        <v>1</v>
      </c>
      <c r="C165" s="28"/>
      <c r="D165" s="35" t="str">
        <f>IFERROR(VLOOKUP(C165,T_CÓDIGO[#All],4,FALSE),"")</f>
        <v/>
      </c>
      <c r="E165" s="30" t="str">
        <f>IFERROR(VLOOKUP(C165,T_CÓDIGO[#All],6,FALSE),"")</f>
        <v/>
      </c>
      <c r="F165" s="28"/>
      <c r="G165" s="30"/>
      <c r="H165" s="28"/>
      <c r="I165" s="30"/>
      <c r="J165" s="30"/>
      <c r="K165" s="30" t="str">
        <f>IFERROR(VLOOKUP(C165,T_CÓDIGO[#All],3,FALSE),"")</f>
        <v/>
      </c>
      <c r="L165" s="28"/>
      <c r="M165" s="28"/>
      <c r="N165" s="30"/>
    </row>
    <row r="166" spans="1:14" s="2" customFormat="1" ht="15" thickBot="1" x14ac:dyDescent="0.35">
      <c r="A166" s="29"/>
      <c r="B166" s="30">
        <f t="shared" si="2"/>
        <v>1</v>
      </c>
      <c r="C166" s="28"/>
      <c r="D166" s="35" t="str">
        <f>IFERROR(VLOOKUP(C166,T_CÓDIGO[#All],4,FALSE),"")</f>
        <v/>
      </c>
      <c r="E166" s="30" t="str">
        <f>IFERROR(VLOOKUP(C166,T_CÓDIGO[#All],6,FALSE),"")</f>
        <v/>
      </c>
      <c r="F166" s="28"/>
      <c r="G166" s="30"/>
      <c r="H166" s="28"/>
      <c r="I166" s="30"/>
      <c r="J166" s="30"/>
      <c r="K166" s="30" t="str">
        <f>IFERROR(VLOOKUP(C166,T_CÓDIGO[#All],3,FALSE),"")</f>
        <v/>
      </c>
      <c r="L166" s="28"/>
      <c r="M166" s="28"/>
      <c r="N166" s="30"/>
    </row>
    <row r="167" spans="1:14" s="2" customFormat="1" ht="15" thickBot="1" x14ac:dyDescent="0.35">
      <c r="A167" s="29"/>
      <c r="B167" s="30">
        <f t="shared" si="2"/>
        <v>1</v>
      </c>
      <c r="C167" s="28"/>
      <c r="D167" s="35" t="str">
        <f>IFERROR(VLOOKUP(C167,T_CÓDIGO[#All],4,FALSE),"")</f>
        <v/>
      </c>
      <c r="E167" s="30" t="str">
        <f>IFERROR(VLOOKUP(C167,T_CÓDIGO[#All],6,FALSE),"")</f>
        <v/>
      </c>
      <c r="F167" s="28"/>
      <c r="G167" s="30"/>
      <c r="H167" s="28"/>
      <c r="I167" s="30"/>
      <c r="J167" s="30"/>
      <c r="K167" s="30" t="str">
        <f>IFERROR(VLOOKUP(C167,T_CÓDIGO[#All],3,FALSE),"")</f>
        <v/>
      </c>
      <c r="L167" s="28"/>
      <c r="M167" s="28"/>
      <c r="N167" s="30"/>
    </row>
    <row r="168" spans="1:14" s="2" customFormat="1" ht="15" thickBot="1" x14ac:dyDescent="0.35">
      <c r="A168" s="29"/>
      <c r="B168" s="30">
        <f t="shared" si="2"/>
        <v>1</v>
      </c>
      <c r="C168" s="28"/>
      <c r="D168" s="35" t="str">
        <f>IFERROR(VLOOKUP(C168,T_CÓDIGO[#All],4,FALSE),"")</f>
        <v/>
      </c>
      <c r="E168" s="30" t="str">
        <f>IFERROR(VLOOKUP(C168,T_CÓDIGO[#All],6,FALSE),"")</f>
        <v/>
      </c>
      <c r="F168" s="28"/>
      <c r="G168" s="30"/>
      <c r="H168" s="28"/>
      <c r="I168" s="30"/>
      <c r="J168" s="30"/>
      <c r="K168" s="30" t="str">
        <f>IFERROR(VLOOKUP(C168,T_CÓDIGO[#All],3,FALSE),"")</f>
        <v/>
      </c>
      <c r="L168" s="28"/>
      <c r="M168" s="28"/>
      <c r="N168" s="30"/>
    </row>
    <row r="169" spans="1:14" s="2" customFormat="1" ht="15" thickBot="1" x14ac:dyDescent="0.35">
      <c r="A169" s="29"/>
      <c r="B169" s="30">
        <f t="shared" si="2"/>
        <v>1</v>
      </c>
      <c r="C169" s="28"/>
      <c r="D169" s="35" t="str">
        <f>IFERROR(VLOOKUP(C169,T_CÓDIGO[#All],4,FALSE),"")</f>
        <v/>
      </c>
      <c r="E169" s="30" t="str">
        <f>IFERROR(VLOOKUP(C169,T_CÓDIGO[#All],6,FALSE),"")</f>
        <v/>
      </c>
      <c r="F169" s="28"/>
      <c r="G169" s="30"/>
      <c r="H169" s="28"/>
      <c r="I169" s="30"/>
      <c r="J169" s="30"/>
      <c r="K169" s="30" t="str">
        <f>IFERROR(VLOOKUP(C169,T_CÓDIGO[#All],3,FALSE),"")</f>
        <v/>
      </c>
      <c r="L169" s="28"/>
      <c r="M169" s="28"/>
      <c r="N169" s="30"/>
    </row>
    <row r="170" spans="1:14" s="2" customFormat="1" ht="15" thickBot="1" x14ac:dyDescent="0.35">
      <c r="A170" s="29"/>
      <c r="B170" s="30">
        <f t="shared" si="2"/>
        <v>1</v>
      </c>
      <c r="C170" s="28"/>
      <c r="D170" s="35" t="str">
        <f>IFERROR(VLOOKUP(C170,T_CÓDIGO[#All],4,FALSE),"")</f>
        <v/>
      </c>
      <c r="E170" s="30" t="str">
        <f>IFERROR(VLOOKUP(C170,T_CÓDIGO[#All],6,FALSE),"")</f>
        <v/>
      </c>
      <c r="F170" s="28"/>
      <c r="G170" s="30"/>
      <c r="H170" s="28"/>
      <c r="I170" s="30"/>
      <c r="J170" s="30"/>
      <c r="K170" s="30" t="str">
        <f>IFERROR(VLOOKUP(C170,T_CÓDIGO[#All],3,FALSE),"")</f>
        <v/>
      </c>
      <c r="L170" s="28"/>
      <c r="M170" s="28"/>
      <c r="N170" s="30"/>
    </row>
    <row r="171" spans="1:14" s="2" customFormat="1" ht="15" thickBot="1" x14ac:dyDescent="0.35">
      <c r="A171" s="29"/>
      <c r="B171" s="30">
        <f t="shared" si="2"/>
        <v>1</v>
      </c>
      <c r="C171" s="28"/>
      <c r="D171" s="35" t="str">
        <f>IFERROR(VLOOKUP(C171,T_CÓDIGO[#All],4,FALSE),"")</f>
        <v/>
      </c>
      <c r="E171" s="30" t="str">
        <f>IFERROR(VLOOKUP(C171,T_CÓDIGO[#All],6,FALSE),"")</f>
        <v/>
      </c>
      <c r="F171" s="28"/>
      <c r="G171" s="30"/>
      <c r="H171" s="28"/>
      <c r="I171" s="30"/>
      <c r="J171" s="30"/>
      <c r="K171" s="30" t="str">
        <f>IFERROR(VLOOKUP(C171,T_CÓDIGO[#All],3,FALSE),"")</f>
        <v/>
      </c>
      <c r="L171" s="28"/>
      <c r="M171" s="28"/>
      <c r="N171" s="30"/>
    </row>
    <row r="172" spans="1:14" s="2" customFormat="1" ht="15" thickBot="1" x14ac:dyDescent="0.35">
      <c r="A172" s="29"/>
      <c r="B172" s="30">
        <f t="shared" si="2"/>
        <v>1</v>
      </c>
      <c r="C172" s="28"/>
      <c r="D172" s="35" t="str">
        <f>IFERROR(VLOOKUP(C172,T_CÓDIGO[#All],4,FALSE),"")</f>
        <v/>
      </c>
      <c r="E172" s="30" t="str">
        <f>IFERROR(VLOOKUP(C172,T_CÓDIGO[#All],6,FALSE),"")</f>
        <v/>
      </c>
      <c r="F172" s="28"/>
      <c r="G172" s="30"/>
      <c r="H172" s="28"/>
      <c r="I172" s="30"/>
      <c r="J172" s="30"/>
      <c r="K172" s="30" t="str">
        <f>IFERROR(VLOOKUP(C172,T_CÓDIGO[#All],3,FALSE),"")</f>
        <v/>
      </c>
      <c r="L172" s="28"/>
      <c r="M172" s="28"/>
      <c r="N172" s="30"/>
    </row>
    <row r="173" spans="1:14" s="2" customFormat="1" ht="15" thickBot="1" x14ac:dyDescent="0.35">
      <c r="A173" s="29"/>
      <c r="B173" s="30">
        <f t="shared" si="2"/>
        <v>1</v>
      </c>
      <c r="C173" s="28"/>
      <c r="D173" s="35" t="str">
        <f>IFERROR(VLOOKUP(C173,T_CÓDIGO[#All],4,FALSE),"")</f>
        <v/>
      </c>
      <c r="E173" s="30" t="str">
        <f>IFERROR(VLOOKUP(C173,T_CÓDIGO[#All],6,FALSE),"")</f>
        <v/>
      </c>
      <c r="F173" s="28"/>
      <c r="G173" s="30"/>
      <c r="H173" s="28"/>
      <c r="I173" s="30"/>
      <c r="J173" s="30"/>
      <c r="K173" s="30" t="str">
        <f>IFERROR(VLOOKUP(C173,T_CÓDIGO[#All],3,FALSE),"")</f>
        <v/>
      </c>
      <c r="L173" s="28"/>
      <c r="M173" s="28"/>
      <c r="N173" s="30"/>
    </row>
    <row r="174" spans="1:14" s="2" customFormat="1" ht="15" thickBot="1" x14ac:dyDescent="0.35">
      <c r="A174" s="29"/>
      <c r="B174" s="30">
        <f t="shared" si="2"/>
        <v>1</v>
      </c>
      <c r="C174" s="28"/>
      <c r="D174" s="35" t="str">
        <f>IFERROR(VLOOKUP(C174,T_CÓDIGO[#All],4,FALSE),"")</f>
        <v/>
      </c>
      <c r="E174" s="30" t="str">
        <f>IFERROR(VLOOKUP(C174,T_CÓDIGO[#All],6,FALSE),"")</f>
        <v/>
      </c>
      <c r="F174" s="28"/>
      <c r="G174" s="30"/>
      <c r="H174" s="28"/>
      <c r="I174" s="30"/>
      <c r="J174" s="30"/>
      <c r="K174" s="30" t="str">
        <f>IFERROR(VLOOKUP(C174,T_CÓDIGO[#All],3,FALSE),"")</f>
        <v/>
      </c>
      <c r="L174" s="28"/>
      <c r="M174" s="28"/>
      <c r="N174" s="30"/>
    </row>
    <row r="175" spans="1:14" s="2" customFormat="1" ht="15" thickBot="1" x14ac:dyDescent="0.35">
      <c r="A175" s="29"/>
      <c r="B175" s="30">
        <f t="shared" si="2"/>
        <v>1</v>
      </c>
      <c r="C175" s="28"/>
      <c r="D175" s="35" t="str">
        <f>IFERROR(VLOOKUP(C175,T_CÓDIGO[#All],4,FALSE),"")</f>
        <v/>
      </c>
      <c r="E175" s="30" t="str">
        <f>IFERROR(VLOOKUP(C175,T_CÓDIGO[#All],6,FALSE),"")</f>
        <v/>
      </c>
      <c r="F175" s="28"/>
      <c r="G175" s="30"/>
      <c r="H175" s="28"/>
      <c r="I175" s="30"/>
      <c r="J175" s="30"/>
      <c r="K175" s="30" t="str">
        <f>IFERROR(VLOOKUP(C175,T_CÓDIGO[#All],3,FALSE),"")</f>
        <v/>
      </c>
      <c r="L175" s="28"/>
      <c r="M175" s="28"/>
      <c r="N175" s="30"/>
    </row>
    <row r="176" spans="1:14" s="2" customFormat="1" ht="15" thickBot="1" x14ac:dyDescent="0.35">
      <c r="A176" s="29"/>
      <c r="B176" s="30">
        <f t="shared" si="2"/>
        <v>1</v>
      </c>
      <c r="C176" s="28"/>
      <c r="D176" s="35" t="str">
        <f>IFERROR(VLOOKUP(C176,T_CÓDIGO[#All],4,FALSE),"")</f>
        <v/>
      </c>
      <c r="E176" s="30" t="str">
        <f>IFERROR(VLOOKUP(C176,T_CÓDIGO[#All],6,FALSE),"")</f>
        <v/>
      </c>
      <c r="F176" s="28"/>
      <c r="G176" s="30"/>
      <c r="H176" s="28"/>
      <c r="I176" s="30"/>
      <c r="J176" s="30"/>
      <c r="K176" s="30" t="str">
        <f>IFERROR(VLOOKUP(C176,T_CÓDIGO[#All],3,FALSE),"")</f>
        <v/>
      </c>
      <c r="L176" s="28"/>
      <c r="M176" s="28"/>
      <c r="N176" s="30"/>
    </row>
    <row r="177" spans="1:14" s="2" customFormat="1" ht="15" thickBot="1" x14ac:dyDescent="0.35">
      <c r="A177" s="29"/>
      <c r="B177" s="30">
        <f t="shared" si="2"/>
        <v>1</v>
      </c>
      <c r="C177" s="28"/>
      <c r="D177" s="35" t="str">
        <f>IFERROR(VLOOKUP(C177,T_CÓDIGO[#All],4,FALSE),"")</f>
        <v/>
      </c>
      <c r="E177" s="30" t="str">
        <f>IFERROR(VLOOKUP(C177,T_CÓDIGO[#All],6,FALSE),"")</f>
        <v/>
      </c>
      <c r="F177" s="28"/>
      <c r="G177" s="30"/>
      <c r="H177" s="28"/>
      <c r="I177" s="30"/>
      <c r="J177" s="30"/>
      <c r="K177" s="30" t="str">
        <f>IFERROR(VLOOKUP(C177,T_CÓDIGO[#All],3,FALSE),"")</f>
        <v/>
      </c>
      <c r="L177" s="28"/>
      <c r="M177" s="28"/>
      <c r="N177" s="30"/>
    </row>
    <row r="178" spans="1:14" s="2" customFormat="1" ht="15" thickBot="1" x14ac:dyDescent="0.35">
      <c r="A178" s="29"/>
      <c r="B178" s="30">
        <f t="shared" si="2"/>
        <v>1</v>
      </c>
      <c r="C178" s="28"/>
      <c r="D178" s="35" t="str">
        <f>IFERROR(VLOOKUP(C178,T_CÓDIGO[#All],4,FALSE),"")</f>
        <v/>
      </c>
      <c r="E178" s="30" t="str">
        <f>IFERROR(VLOOKUP(C178,T_CÓDIGO[#All],6,FALSE),"")</f>
        <v/>
      </c>
      <c r="F178" s="28"/>
      <c r="G178" s="30"/>
      <c r="H178" s="28"/>
      <c r="I178" s="30"/>
      <c r="J178" s="30"/>
      <c r="K178" s="30" t="str">
        <f>IFERROR(VLOOKUP(C178,T_CÓDIGO[#All],3,FALSE),"")</f>
        <v/>
      </c>
      <c r="L178" s="28"/>
      <c r="M178" s="28"/>
      <c r="N178" s="30"/>
    </row>
    <row r="179" spans="1:14" s="2" customFormat="1" ht="15" thickBot="1" x14ac:dyDescent="0.35">
      <c r="A179" s="29"/>
      <c r="B179" s="30">
        <f t="shared" si="2"/>
        <v>1</v>
      </c>
      <c r="C179" s="28"/>
      <c r="D179" s="35" t="str">
        <f>IFERROR(VLOOKUP(C179,T_CÓDIGO[#All],4,FALSE),"")</f>
        <v/>
      </c>
      <c r="E179" s="30" t="str">
        <f>IFERROR(VLOOKUP(C179,T_CÓDIGO[#All],6,FALSE),"")</f>
        <v/>
      </c>
      <c r="F179" s="28"/>
      <c r="G179" s="30"/>
      <c r="H179" s="28"/>
      <c r="I179" s="30"/>
      <c r="J179" s="30"/>
      <c r="K179" s="30" t="str">
        <f>IFERROR(VLOOKUP(C179,T_CÓDIGO[#All],3,FALSE),"")</f>
        <v/>
      </c>
      <c r="L179" s="28"/>
      <c r="M179" s="28"/>
      <c r="N179" s="30"/>
    </row>
    <row r="180" spans="1:14" s="2" customFormat="1" ht="15" thickBot="1" x14ac:dyDescent="0.35">
      <c r="A180" s="29"/>
      <c r="B180" s="30">
        <f t="shared" si="2"/>
        <v>1</v>
      </c>
      <c r="C180" s="28"/>
      <c r="D180" s="35" t="str">
        <f>IFERROR(VLOOKUP(C180,T_CÓDIGO[#All],4,FALSE),"")</f>
        <v/>
      </c>
      <c r="E180" s="30" t="str">
        <f>IFERROR(VLOOKUP(C180,T_CÓDIGO[#All],6,FALSE),"")</f>
        <v/>
      </c>
      <c r="F180" s="28"/>
      <c r="G180" s="30"/>
      <c r="H180" s="28"/>
      <c r="I180" s="30"/>
      <c r="J180" s="30"/>
      <c r="K180" s="30" t="str">
        <f>IFERROR(VLOOKUP(C180,T_CÓDIGO[#All],3,FALSE),"")</f>
        <v/>
      </c>
      <c r="L180" s="28"/>
      <c r="M180" s="28"/>
      <c r="N180" s="30"/>
    </row>
    <row r="181" spans="1:14" s="2" customFormat="1" ht="15" thickBot="1" x14ac:dyDescent="0.35">
      <c r="A181" s="29"/>
      <c r="B181" s="30">
        <f t="shared" si="2"/>
        <v>1</v>
      </c>
      <c r="C181" s="28"/>
      <c r="D181" s="35" t="str">
        <f>IFERROR(VLOOKUP(C181,T_CÓDIGO[#All],4,FALSE),"")</f>
        <v/>
      </c>
      <c r="E181" s="30" t="str">
        <f>IFERROR(VLOOKUP(C181,T_CÓDIGO[#All],6,FALSE),"")</f>
        <v/>
      </c>
      <c r="F181" s="28"/>
      <c r="G181" s="30"/>
      <c r="H181" s="28"/>
      <c r="I181" s="30"/>
      <c r="J181" s="30"/>
      <c r="K181" s="30" t="str">
        <f>IFERROR(VLOOKUP(C181,T_CÓDIGO[#All],3,FALSE),"")</f>
        <v/>
      </c>
      <c r="L181" s="28"/>
      <c r="M181" s="28"/>
      <c r="N181" s="30"/>
    </row>
    <row r="182" spans="1:14" s="2" customFormat="1" ht="15" thickBot="1" x14ac:dyDescent="0.35">
      <c r="A182" s="29"/>
      <c r="B182" s="30">
        <f t="shared" si="2"/>
        <v>1</v>
      </c>
      <c r="C182" s="28"/>
      <c r="D182" s="35" t="str">
        <f>IFERROR(VLOOKUP(C182,T_CÓDIGO[#All],4,FALSE),"")</f>
        <v/>
      </c>
      <c r="E182" s="30" t="str">
        <f>IFERROR(VLOOKUP(C182,T_CÓDIGO[#All],6,FALSE),"")</f>
        <v/>
      </c>
      <c r="F182" s="28"/>
      <c r="G182" s="30"/>
      <c r="H182" s="28"/>
      <c r="I182" s="30"/>
      <c r="J182" s="30"/>
      <c r="K182" s="30" t="str">
        <f>IFERROR(VLOOKUP(C182,T_CÓDIGO[#All],3,FALSE),"")</f>
        <v/>
      </c>
      <c r="L182" s="28"/>
      <c r="M182" s="28"/>
      <c r="N182" s="30"/>
    </row>
    <row r="183" spans="1:14" s="2" customFormat="1" ht="15" thickBot="1" x14ac:dyDescent="0.35">
      <c r="A183" s="29"/>
      <c r="B183" s="30">
        <f t="shared" si="2"/>
        <v>1</v>
      </c>
      <c r="C183" s="28"/>
      <c r="D183" s="35" t="str">
        <f>IFERROR(VLOOKUP(C183,T_CÓDIGO[#All],4,FALSE),"")</f>
        <v/>
      </c>
      <c r="E183" s="30" t="str">
        <f>IFERROR(VLOOKUP(C183,T_CÓDIGO[#All],6,FALSE),"")</f>
        <v/>
      </c>
      <c r="F183" s="28"/>
      <c r="G183" s="30"/>
      <c r="H183" s="28"/>
      <c r="I183" s="30"/>
      <c r="J183" s="30"/>
      <c r="K183" s="30" t="str">
        <f>IFERROR(VLOOKUP(C183,T_CÓDIGO[#All],3,FALSE),"")</f>
        <v/>
      </c>
      <c r="L183" s="28"/>
      <c r="M183" s="28"/>
      <c r="N183" s="30"/>
    </row>
    <row r="184" spans="1:14" s="2" customFormat="1" ht="15" thickBot="1" x14ac:dyDescent="0.35">
      <c r="A184" s="29"/>
      <c r="B184" s="30">
        <f t="shared" si="2"/>
        <v>1</v>
      </c>
      <c r="C184" s="28"/>
      <c r="D184" s="35" t="str">
        <f>IFERROR(VLOOKUP(C184,T_CÓDIGO[#All],4,FALSE),"")</f>
        <v/>
      </c>
      <c r="E184" s="30" t="str">
        <f>IFERROR(VLOOKUP(C184,T_CÓDIGO[#All],6,FALSE),"")</f>
        <v/>
      </c>
      <c r="F184" s="28"/>
      <c r="G184" s="30"/>
      <c r="H184" s="28"/>
      <c r="I184" s="30"/>
      <c r="J184" s="30"/>
      <c r="K184" s="30" t="str">
        <f>IFERROR(VLOOKUP(C184,T_CÓDIGO[#All],3,FALSE),"")</f>
        <v/>
      </c>
      <c r="L184" s="28"/>
      <c r="M184" s="28"/>
      <c r="N184" s="30"/>
    </row>
    <row r="185" spans="1:14" s="2" customFormat="1" ht="15" thickBot="1" x14ac:dyDescent="0.35">
      <c r="A185" s="29"/>
      <c r="B185" s="30">
        <f t="shared" si="2"/>
        <v>1</v>
      </c>
      <c r="C185" s="28"/>
      <c r="D185" s="35" t="str">
        <f>IFERROR(VLOOKUP(C185,T_CÓDIGO[#All],4,FALSE),"")</f>
        <v/>
      </c>
      <c r="E185" s="30" t="str">
        <f>IFERROR(VLOOKUP(C185,T_CÓDIGO[#All],6,FALSE),"")</f>
        <v/>
      </c>
      <c r="F185" s="28"/>
      <c r="G185" s="30"/>
      <c r="H185" s="28"/>
      <c r="I185" s="30"/>
      <c r="J185" s="30"/>
      <c r="K185" s="30" t="str">
        <f>IFERROR(VLOOKUP(C185,T_CÓDIGO[#All],3,FALSE),"")</f>
        <v/>
      </c>
      <c r="L185" s="28"/>
      <c r="M185" s="28"/>
      <c r="N185" s="30"/>
    </row>
    <row r="186" spans="1:14" s="2" customFormat="1" ht="15" thickBot="1" x14ac:dyDescent="0.35">
      <c r="A186" s="29"/>
      <c r="B186" s="30">
        <f t="shared" si="2"/>
        <v>1</v>
      </c>
      <c r="C186" s="28"/>
      <c r="D186" s="35" t="str">
        <f>IFERROR(VLOOKUP(C186,T_CÓDIGO[#All],4,FALSE),"")</f>
        <v/>
      </c>
      <c r="E186" s="30" t="str">
        <f>IFERROR(VLOOKUP(C186,T_CÓDIGO[#All],6,FALSE),"")</f>
        <v/>
      </c>
      <c r="F186" s="28"/>
      <c r="G186" s="30"/>
      <c r="H186" s="28"/>
      <c r="I186" s="30"/>
      <c r="J186" s="30"/>
      <c r="K186" s="30" t="str">
        <f>IFERROR(VLOOKUP(C186,T_CÓDIGO[#All],3,FALSE),"")</f>
        <v/>
      </c>
      <c r="L186" s="28"/>
      <c r="M186" s="28"/>
      <c r="N186" s="30"/>
    </row>
    <row r="187" spans="1:14" s="2" customFormat="1" ht="15" thickBot="1" x14ac:dyDescent="0.35">
      <c r="A187" s="29"/>
      <c r="B187" s="30">
        <f t="shared" si="2"/>
        <v>1</v>
      </c>
      <c r="C187" s="28"/>
      <c r="D187" s="35" t="str">
        <f>IFERROR(VLOOKUP(C187,T_CÓDIGO[#All],4,FALSE),"")</f>
        <v/>
      </c>
      <c r="E187" s="30" t="str">
        <f>IFERROR(VLOOKUP(C187,T_CÓDIGO[#All],6,FALSE),"")</f>
        <v/>
      </c>
      <c r="F187" s="28"/>
      <c r="G187" s="30"/>
      <c r="H187" s="28"/>
      <c r="I187" s="30"/>
      <c r="J187" s="30"/>
      <c r="K187" s="30" t="str">
        <f>IFERROR(VLOOKUP(C187,T_CÓDIGO[#All],3,FALSE),"")</f>
        <v/>
      </c>
      <c r="L187" s="28"/>
      <c r="M187" s="28"/>
      <c r="N187" s="30"/>
    </row>
    <row r="188" spans="1:14" s="2" customFormat="1" ht="15" thickBot="1" x14ac:dyDescent="0.35">
      <c r="A188" s="29"/>
      <c r="B188" s="30">
        <f t="shared" si="2"/>
        <v>1</v>
      </c>
      <c r="C188" s="28"/>
      <c r="D188" s="35" t="str">
        <f>IFERROR(VLOOKUP(C188,T_CÓDIGO[#All],4,FALSE),"")</f>
        <v/>
      </c>
      <c r="E188" s="30" t="str">
        <f>IFERROR(VLOOKUP(C188,T_CÓDIGO[#All],6,FALSE),"")</f>
        <v/>
      </c>
      <c r="F188" s="28"/>
      <c r="G188" s="30"/>
      <c r="H188" s="28"/>
      <c r="I188" s="30"/>
      <c r="J188" s="30"/>
      <c r="K188" s="30" t="str">
        <f>IFERROR(VLOOKUP(C188,T_CÓDIGO[#All],3,FALSE),"")</f>
        <v/>
      </c>
      <c r="L188" s="28"/>
      <c r="M188" s="28"/>
      <c r="N188" s="30"/>
    </row>
    <row r="189" spans="1:14" s="2" customFormat="1" ht="15" thickBot="1" x14ac:dyDescent="0.35">
      <c r="A189" s="29"/>
      <c r="B189" s="30">
        <f t="shared" si="2"/>
        <v>1</v>
      </c>
      <c r="C189" s="28"/>
      <c r="D189" s="35" t="str">
        <f>IFERROR(VLOOKUP(C189,T_CÓDIGO[#All],4,FALSE),"")</f>
        <v/>
      </c>
      <c r="E189" s="30" t="str">
        <f>IFERROR(VLOOKUP(C189,T_CÓDIGO[#All],6,FALSE),"")</f>
        <v/>
      </c>
      <c r="F189" s="28"/>
      <c r="G189" s="30"/>
      <c r="H189" s="28"/>
      <c r="I189" s="30"/>
      <c r="J189" s="30"/>
      <c r="K189" s="30" t="str">
        <f>IFERROR(VLOOKUP(C189,T_CÓDIGO[#All],3,FALSE),"")</f>
        <v/>
      </c>
      <c r="L189" s="28"/>
      <c r="M189" s="28"/>
      <c r="N189" s="30"/>
    </row>
    <row r="190" spans="1:14" s="2" customFormat="1" ht="15" thickBot="1" x14ac:dyDescent="0.35">
      <c r="A190" s="29"/>
      <c r="B190" s="30">
        <f t="shared" si="2"/>
        <v>1</v>
      </c>
      <c r="C190" s="28"/>
      <c r="D190" s="35" t="str">
        <f>IFERROR(VLOOKUP(C190,T_CÓDIGO[#All],4,FALSE),"")</f>
        <v/>
      </c>
      <c r="E190" s="30" t="str">
        <f>IFERROR(VLOOKUP(C190,T_CÓDIGO[#All],6,FALSE),"")</f>
        <v/>
      </c>
      <c r="F190" s="28"/>
      <c r="G190" s="30"/>
      <c r="H190" s="28"/>
      <c r="I190" s="30"/>
      <c r="J190" s="30"/>
      <c r="K190" s="30" t="str">
        <f>IFERROR(VLOOKUP(C190,T_CÓDIGO[#All],3,FALSE),"")</f>
        <v/>
      </c>
      <c r="L190" s="28"/>
      <c r="M190" s="28"/>
      <c r="N190" s="30"/>
    </row>
    <row r="191" spans="1:14" s="2" customFormat="1" ht="15" thickBot="1" x14ac:dyDescent="0.35">
      <c r="A191" s="29"/>
      <c r="B191" s="30">
        <f t="shared" si="2"/>
        <v>1</v>
      </c>
      <c r="C191" s="28"/>
      <c r="D191" s="35" t="str">
        <f>IFERROR(VLOOKUP(C191,T_CÓDIGO[#All],4,FALSE),"")</f>
        <v/>
      </c>
      <c r="E191" s="30" t="str">
        <f>IFERROR(VLOOKUP(C191,T_CÓDIGO[#All],6,FALSE),"")</f>
        <v/>
      </c>
      <c r="F191" s="28"/>
      <c r="G191" s="30"/>
      <c r="H191" s="28"/>
      <c r="I191" s="30"/>
      <c r="J191" s="30"/>
      <c r="K191" s="30" t="str">
        <f>IFERROR(VLOOKUP(C191,T_CÓDIGO[#All],3,FALSE),"")</f>
        <v/>
      </c>
      <c r="L191" s="28"/>
      <c r="M191" s="28"/>
      <c r="N191" s="30"/>
    </row>
    <row r="192" spans="1:14" s="2" customFormat="1" ht="15" thickBot="1" x14ac:dyDescent="0.35">
      <c r="A192" s="29"/>
      <c r="B192" s="30">
        <f t="shared" si="2"/>
        <v>1</v>
      </c>
      <c r="C192" s="28"/>
      <c r="D192" s="35" t="str">
        <f>IFERROR(VLOOKUP(C192,T_CÓDIGO[#All],4,FALSE),"")</f>
        <v/>
      </c>
      <c r="E192" s="30" t="str">
        <f>IFERROR(VLOOKUP(C192,T_CÓDIGO[#All],6,FALSE),"")</f>
        <v/>
      </c>
      <c r="F192" s="28"/>
      <c r="G192" s="30"/>
      <c r="H192" s="28"/>
      <c r="I192" s="30"/>
      <c r="J192" s="30"/>
      <c r="K192" s="30" t="str">
        <f>IFERROR(VLOOKUP(C192,T_CÓDIGO[#All],3,FALSE),"")</f>
        <v/>
      </c>
      <c r="L192" s="28"/>
      <c r="M192" s="28"/>
      <c r="N192" s="30"/>
    </row>
    <row r="193" spans="1:14" s="2" customFormat="1" ht="15" thickBot="1" x14ac:dyDescent="0.35">
      <c r="A193" s="29"/>
      <c r="B193" s="30">
        <f t="shared" si="2"/>
        <v>1</v>
      </c>
      <c r="C193" s="28"/>
      <c r="D193" s="35" t="str">
        <f>IFERROR(VLOOKUP(C193,T_CÓDIGO[#All],4,FALSE),"")</f>
        <v/>
      </c>
      <c r="E193" s="30" t="str">
        <f>IFERROR(VLOOKUP(C193,T_CÓDIGO[#All],6,FALSE),"")</f>
        <v/>
      </c>
      <c r="F193" s="28"/>
      <c r="G193" s="30"/>
      <c r="H193" s="28"/>
      <c r="I193" s="30"/>
      <c r="J193" s="30"/>
      <c r="K193" s="30" t="str">
        <f>IFERROR(VLOOKUP(C193,T_CÓDIGO[#All],3,FALSE),"")</f>
        <v/>
      </c>
      <c r="L193" s="28"/>
      <c r="M193" s="28"/>
      <c r="N193" s="30"/>
    </row>
    <row r="194" spans="1:14" s="2" customFormat="1" ht="15" thickBot="1" x14ac:dyDescent="0.35">
      <c r="A194" s="29"/>
      <c r="B194" s="30">
        <f t="shared" si="2"/>
        <v>1</v>
      </c>
      <c r="C194" s="28"/>
      <c r="D194" s="35" t="str">
        <f>IFERROR(VLOOKUP(C194,T_CÓDIGO[#All],4,FALSE),"")</f>
        <v/>
      </c>
      <c r="E194" s="30" t="str">
        <f>IFERROR(VLOOKUP(C194,T_CÓDIGO[#All],6,FALSE),"")</f>
        <v/>
      </c>
      <c r="F194" s="28"/>
      <c r="G194" s="30"/>
      <c r="H194" s="28"/>
      <c r="I194" s="30"/>
      <c r="J194" s="30"/>
      <c r="K194" s="30" t="str">
        <f>IFERROR(VLOOKUP(C194,T_CÓDIGO[#All],3,FALSE),"")</f>
        <v/>
      </c>
      <c r="L194" s="28"/>
      <c r="M194" s="28"/>
      <c r="N194" s="30"/>
    </row>
    <row r="195" spans="1:14" s="2" customFormat="1" ht="15" thickBot="1" x14ac:dyDescent="0.35">
      <c r="A195" s="29"/>
      <c r="B195" s="30">
        <f t="shared" si="2"/>
        <v>1</v>
      </c>
      <c r="C195" s="28"/>
      <c r="D195" s="35" t="str">
        <f>IFERROR(VLOOKUP(C195,T_CÓDIGO[#All],4,FALSE),"")</f>
        <v/>
      </c>
      <c r="E195" s="30" t="str">
        <f>IFERROR(VLOOKUP(C195,T_CÓDIGO[#All],6,FALSE),"")</f>
        <v/>
      </c>
      <c r="F195" s="28"/>
      <c r="G195" s="30"/>
      <c r="H195" s="28"/>
      <c r="I195" s="30"/>
      <c r="J195" s="30"/>
      <c r="K195" s="30" t="str">
        <f>IFERROR(VLOOKUP(C195,T_CÓDIGO[#All],3,FALSE),"")</f>
        <v/>
      </c>
      <c r="L195" s="28"/>
      <c r="M195" s="28"/>
      <c r="N195" s="30"/>
    </row>
    <row r="196" spans="1:14" s="2" customFormat="1" ht="15" thickBot="1" x14ac:dyDescent="0.35">
      <c r="A196" s="29"/>
      <c r="B196" s="30">
        <f t="shared" si="2"/>
        <v>1</v>
      </c>
      <c r="C196" s="28"/>
      <c r="D196" s="35" t="str">
        <f>IFERROR(VLOOKUP(C196,T_CÓDIGO[#All],4,FALSE),"")</f>
        <v/>
      </c>
      <c r="E196" s="30" t="str">
        <f>IFERROR(VLOOKUP(C196,T_CÓDIGO[#All],6,FALSE),"")</f>
        <v/>
      </c>
      <c r="F196" s="28"/>
      <c r="G196" s="30"/>
      <c r="H196" s="28"/>
      <c r="I196" s="30"/>
      <c r="J196" s="30"/>
      <c r="K196" s="30" t="str">
        <f>IFERROR(VLOOKUP(C196,T_CÓDIGO[#All],3,FALSE),"")</f>
        <v/>
      </c>
      <c r="L196" s="28"/>
      <c r="M196" s="28"/>
      <c r="N196" s="30"/>
    </row>
    <row r="197" spans="1:14" s="2" customFormat="1" ht="15" thickBot="1" x14ac:dyDescent="0.35">
      <c r="A197" s="29"/>
      <c r="B197" s="30">
        <f t="shared" si="2"/>
        <v>1</v>
      </c>
      <c r="C197" s="28"/>
      <c r="D197" s="35" t="str">
        <f>IFERROR(VLOOKUP(C197,T_CÓDIGO[#All],4,FALSE),"")</f>
        <v/>
      </c>
      <c r="E197" s="30" t="str">
        <f>IFERROR(VLOOKUP(C197,T_CÓDIGO[#All],6,FALSE),"")</f>
        <v/>
      </c>
      <c r="F197" s="28"/>
      <c r="G197" s="30"/>
      <c r="H197" s="28"/>
      <c r="I197" s="30"/>
      <c r="J197" s="30"/>
      <c r="K197" s="30" t="str">
        <f>IFERROR(VLOOKUP(C197,T_CÓDIGO[#All],3,FALSE),"")</f>
        <v/>
      </c>
      <c r="L197" s="28"/>
      <c r="M197" s="28"/>
      <c r="N197" s="30"/>
    </row>
    <row r="198" spans="1:14" s="2" customFormat="1" ht="15" thickBot="1" x14ac:dyDescent="0.35">
      <c r="A198" s="29"/>
      <c r="B198" s="30">
        <f t="shared" si="2"/>
        <v>1</v>
      </c>
      <c r="C198" s="28"/>
      <c r="D198" s="35" t="str">
        <f>IFERROR(VLOOKUP(C198,T_CÓDIGO[#All],4,FALSE),"")</f>
        <v/>
      </c>
      <c r="E198" s="30" t="str">
        <f>IFERROR(VLOOKUP(C198,T_CÓDIGO[#All],6,FALSE),"")</f>
        <v/>
      </c>
      <c r="F198" s="28"/>
      <c r="G198" s="30"/>
      <c r="H198" s="28"/>
      <c r="I198" s="30"/>
      <c r="J198" s="30"/>
      <c r="K198" s="30" t="str">
        <f>IFERROR(VLOOKUP(C198,T_CÓDIGO[#All],3,FALSE),"")</f>
        <v/>
      </c>
      <c r="L198" s="28"/>
      <c r="M198" s="28"/>
      <c r="N198" s="30"/>
    </row>
    <row r="199" spans="1:14" s="2" customFormat="1" ht="15" thickBot="1" x14ac:dyDescent="0.35">
      <c r="A199" s="29"/>
      <c r="B199" s="30">
        <f t="shared" si="2"/>
        <v>1</v>
      </c>
      <c r="C199" s="28"/>
      <c r="D199" s="35" t="str">
        <f>IFERROR(VLOOKUP(C199,T_CÓDIGO[#All],4,FALSE),"")</f>
        <v/>
      </c>
      <c r="E199" s="30" t="str">
        <f>IFERROR(VLOOKUP(C199,T_CÓDIGO[#All],6,FALSE),"")</f>
        <v/>
      </c>
      <c r="F199" s="28"/>
      <c r="G199" s="30"/>
      <c r="H199" s="28"/>
      <c r="I199" s="30"/>
      <c r="J199" s="30"/>
      <c r="K199" s="30" t="str">
        <f>IFERROR(VLOOKUP(C199,T_CÓDIGO[#All],3,FALSE),"")</f>
        <v/>
      </c>
      <c r="L199" s="28"/>
      <c r="M199" s="28"/>
      <c r="N199" s="30"/>
    </row>
    <row r="200" spans="1:14" s="2" customFormat="1" ht="15" thickBot="1" x14ac:dyDescent="0.35">
      <c r="A200" s="29"/>
      <c r="B200" s="30">
        <f t="shared" si="2"/>
        <v>1</v>
      </c>
      <c r="C200" s="28"/>
      <c r="D200" s="35" t="str">
        <f>IFERROR(VLOOKUP(C200,T_CÓDIGO[#All],4,FALSE),"")</f>
        <v/>
      </c>
      <c r="E200" s="30" t="str">
        <f>IFERROR(VLOOKUP(C200,T_CÓDIGO[#All],6,FALSE),"")</f>
        <v/>
      </c>
      <c r="F200" s="28"/>
      <c r="G200" s="30"/>
      <c r="H200" s="28"/>
      <c r="I200" s="30"/>
      <c r="J200" s="30"/>
      <c r="K200" s="30" t="str">
        <f>IFERROR(VLOOKUP(C200,T_CÓDIGO[#All],3,FALSE),"")</f>
        <v/>
      </c>
      <c r="L200" s="28"/>
      <c r="M200" s="28"/>
      <c r="N200" s="30"/>
    </row>
    <row r="201" spans="1:14" s="2" customFormat="1" ht="15" thickBot="1" x14ac:dyDescent="0.35">
      <c r="A201" s="29"/>
      <c r="B201" s="30">
        <f t="shared" si="2"/>
        <v>1</v>
      </c>
      <c r="C201" s="28"/>
      <c r="D201" s="35" t="str">
        <f>IFERROR(VLOOKUP(C201,T_CÓDIGO[#All],4,FALSE),"")</f>
        <v/>
      </c>
      <c r="E201" s="30" t="str">
        <f>IFERROR(VLOOKUP(C201,T_CÓDIGO[#All],6,FALSE),"")</f>
        <v/>
      </c>
      <c r="F201" s="28"/>
      <c r="G201" s="30"/>
      <c r="H201" s="28"/>
      <c r="I201" s="30"/>
      <c r="J201" s="30"/>
      <c r="K201" s="30" t="str">
        <f>IFERROR(VLOOKUP(C201,T_CÓDIGO[#All],3,FALSE),"")</f>
        <v/>
      </c>
      <c r="L201" s="28"/>
      <c r="M201" s="28"/>
      <c r="N201" s="30"/>
    </row>
    <row r="202" spans="1:14" s="2" customFormat="1" ht="15" thickBot="1" x14ac:dyDescent="0.35">
      <c r="A202" s="29"/>
      <c r="B202" s="30">
        <f t="shared" ref="B202:B265" si="3">MONTH(A202)</f>
        <v>1</v>
      </c>
      <c r="C202" s="28"/>
      <c r="D202" s="35" t="str">
        <f>IFERROR(VLOOKUP(C202,T_CÓDIGO[#All],4,FALSE),"")</f>
        <v/>
      </c>
      <c r="E202" s="30" t="str">
        <f>IFERROR(VLOOKUP(C202,T_CÓDIGO[#All],6,FALSE),"")</f>
        <v/>
      </c>
      <c r="F202" s="28"/>
      <c r="G202" s="30"/>
      <c r="H202" s="28"/>
      <c r="I202" s="30"/>
      <c r="J202" s="30"/>
      <c r="K202" s="30" t="str">
        <f>IFERROR(VLOOKUP(C202,T_CÓDIGO[#All],3,FALSE),"")</f>
        <v/>
      </c>
      <c r="L202" s="28"/>
      <c r="M202" s="28"/>
      <c r="N202" s="30"/>
    </row>
    <row r="203" spans="1:14" s="2" customFormat="1" ht="15" thickBot="1" x14ac:dyDescent="0.35">
      <c r="A203" s="29"/>
      <c r="B203" s="30">
        <f t="shared" si="3"/>
        <v>1</v>
      </c>
      <c r="C203" s="28"/>
      <c r="D203" s="35" t="str">
        <f>IFERROR(VLOOKUP(C203,T_CÓDIGO[#All],4,FALSE),"")</f>
        <v/>
      </c>
      <c r="E203" s="30" t="str">
        <f>IFERROR(VLOOKUP(C203,T_CÓDIGO[#All],6,FALSE),"")</f>
        <v/>
      </c>
      <c r="F203" s="28"/>
      <c r="G203" s="30"/>
      <c r="H203" s="28"/>
      <c r="I203" s="30"/>
      <c r="J203" s="30"/>
      <c r="K203" s="30" t="str">
        <f>IFERROR(VLOOKUP(C203,T_CÓDIGO[#All],3,FALSE),"")</f>
        <v/>
      </c>
      <c r="L203" s="28"/>
      <c r="M203" s="28"/>
      <c r="N203" s="30"/>
    </row>
    <row r="204" spans="1:14" s="2" customFormat="1" ht="15" thickBot="1" x14ac:dyDescent="0.35">
      <c r="A204" s="29"/>
      <c r="B204" s="30">
        <f t="shared" si="3"/>
        <v>1</v>
      </c>
      <c r="C204" s="28"/>
      <c r="D204" s="35" t="str">
        <f>IFERROR(VLOOKUP(C204,T_CÓDIGO[#All],4,FALSE),"")</f>
        <v/>
      </c>
      <c r="E204" s="30" t="str">
        <f>IFERROR(VLOOKUP(C204,T_CÓDIGO[#All],6,FALSE),"")</f>
        <v/>
      </c>
      <c r="F204" s="28"/>
      <c r="G204" s="30"/>
      <c r="H204" s="28"/>
      <c r="I204" s="30"/>
      <c r="J204" s="30"/>
      <c r="K204" s="30" t="str">
        <f>IFERROR(VLOOKUP(C204,T_CÓDIGO[#All],3,FALSE),"")</f>
        <v/>
      </c>
      <c r="L204" s="28"/>
      <c r="M204" s="28"/>
      <c r="N204" s="30"/>
    </row>
    <row r="205" spans="1:14" s="2" customFormat="1" ht="15" thickBot="1" x14ac:dyDescent="0.35">
      <c r="A205" s="29"/>
      <c r="B205" s="30">
        <f t="shared" si="3"/>
        <v>1</v>
      </c>
      <c r="C205" s="28"/>
      <c r="D205" s="35" t="str">
        <f>IFERROR(VLOOKUP(C205,T_CÓDIGO[#All],4,FALSE),"")</f>
        <v/>
      </c>
      <c r="E205" s="30" t="str">
        <f>IFERROR(VLOOKUP(C205,T_CÓDIGO[#All],6,FALSE),"")</f>
        <v/>
      </c>
      <c r="F205" s="28"/>
      <c r="G205" s="30"/>
      <c r="H205" s="28"/>
      <c r="I205" s="30"/>
      <c r="J205" s="30"/>
      <c r="K205" s="30" t="str">
        <f>IFERROR(VLOOKUP(C205,T_CÓDIGO[#All],3,FALSE),"")</f>
        <v/>
      </c>
      <c r="L205" s="28"/>
      <c r="M205" s="28"/>
      <c r="N205" s="30"/>
    </row>
    <row r="206" spans="1:14" s="2" customFormat="1" ht="15" thickBot="1" x14ac:dyDescent="0.35">
      <c r="A206" s="29"/>
      <c r="B206" s="30">
        <f t="shared" si="3"/>
        <v>1</v>
      </c>
      <c r="C206" s="28"/>
      <c r="D206" s="35" t="str">
        <f>IFERROR(VLOOKUP(C206,T_CÓDIGO[#All],4,FALSE),"")</f>
        <v/>
      </c>
      <c r="E206" s="30" t="str">
        <f>IFERROR(VLOOKUP(C206,T_CÓDIGO[#All],6,FALSE),"")</f>
        <v/>
      </c>
      <c r="F206" s="28"/>
      <c r="G206" s="30"/>
      <c r="H206" s="28"/>
      <c r="I206" s="30"/>
      <c r="J206" s="30"/>
      <c r="K206" s="30" t="str">
        <f>IFERROR(VLOOKUP(C206,T_CÓDIGO[#All],3,FALSE),"")</f>
        <v/>
      </c>
      <c r="L206" s="28"/>
      <c r="M206" s="28"/>
      <c r="N206" s="30"/>
    </row>
    <row r="207" spans="1:14" s="2" customFormat="1" ht="15" thickBot="1" x14ac:dyDescent="0.35">
      <c r="A207" s="29"/>
      <c r="B207" s="30">
        <f t="shared" si="3"/>
        <v>1</v>
      </c>
      <c r="C207" s="28"/>
      <c r="D207" s="35" t="str">
        <f>IFERROR(VLOOKUP(C207,T_CÓDIGO[#All],4,FALSE),"")</f>
        <v/>
      </c>
      <c r="E207" s="30" t="str">
        <f>IFERROR(VLOOKUP(C207,T_CÓDIGO[#All],6,FALSE),"")</f>
        <v/>
      </c>
      <c r="F207" s="28"/>
      <c r="G207" s="30"/>
      <c r="H207" s="28"/>
      <c r="I207" s="30"/>
      <c r="J207" s="30"/>
      <c r="K207" s="30" t="str">
        <f>IFERROR(VLOOKUP(C207,T_CÓDIGO[#All],3,FALSE),"")</f>
        <v/>
      </c>
      <c r="L207" s="28"/>
      <c r="M207" s="28"/>
      <c r="N207" s="30"/>
    </row>
    <row r="208" spans="1:14" s="2" customFormat="1" ht="15" thickBot="1" x14ac:dyDescent="0.35">
      <c r="A208" s="29"/>
      <c r="B208" s="30">
        <f t="shared" si="3"/>
        <v>1</v>
      </c>
      <c r="C208" s="28"/>
      <c r="D208" s="35" t="str">
        <f>IFERROR(VLOOKUP(C208,T_CÓDIGO[#All],4,FALSE),"")</f>
        <v/>
      </c>
      <c r="E208" s="30" t="str">
        <f>IFERROR(VLOOKUP(C208,T_CÓDIGO[#All],6,FALSE),"")</f>
        <v/>
      </c>
      <c r="F208" s="28"/>
      <c r="G208" s="30"/>
      <c r="H208" s="28"/>
      <c r="I208" s="30"/>
      <c r="J208" s="30"/>
      <c r="K208" s="30" t="str">
        <f>IFERROR(VLOOKUP(C208,T_CÓDIGO[#All],3,FALSE),"")</f>
        <v/>
      </c>
      <c r="L208" s="28"/>
      <c r="M208" s="28"/>
      <c r="N208" s="30"/>
    </row>
    <row r="209" spans="1:14" s="2" customFormat="1" ht="15" thickBot="1" x14ac:dyDescent="0.35">
      <c r="A209" s="29"/>
      <c r="B209" s="30">
        <f t="shared" si="3"/>
        <v>1</v>
      </c>
      <c r="C209" s="28"/>
      <c r="D209" s="35" t="str">
        <f>IFERROR(VLOOKUP(C209,T_CÓDIGO[#All],4,FALSE),"")</f>
        <v/>
      </c>
      <c r="E209" s="30" t="str">
        <f>IFERROR(VLOOKUP(C209,T_CÓDIGO[#All],6,FALSE),"")</f>
        <v/>
      </c>
      <c r="F209" s="28"/>
      <c r="G209" s="30"/>
      <c r="H209" s="28"/>
      <c r="I209" s="30"/>
      <c r="J209" s="30"/>
      <c r="K209" s="30" t="str">
        <f>IFERROR(VLOOKUP(C209,T_CÓDIGO[#All],3,FALSE),"")</f>
        <v/>
      </c>
      <c r="L209" s="28"/>
      <c r="M209" s="28"/>
      <c r="N209" s="30"/>
    </row>
    <row r="210" spans="1:14" s="2" customFormat="1" ht="15" thickBot="1" x14ac:dyDescent="0.35">
      <c r="A210" s="29"/>
      <c r="B210" s="30">
        <f t="shared" si="3"/>
        <v>1</v>
      </c>
      <c r="C210" s="28"/>
      <c r="D210" s="35" t="str">
        <f>IFERROR(VLOOKUP(C210,T_CÓDIGO[#All],4,FALSE),"")</f>
        <v/>
      </c>
      <c r="E210" s="30" t="str">
        <f>IFERROR(VLOOKUP(C210,T_CÓDIGO[#All],6,FALSE),"")</f>
        <v/>
      </c>
      <c r="F210" s="28"/>
      <c r="G210" s="30"/>
      <c r="H210" s="28"/>
      <c r="I210" s="30"/>
      <c r="J210" s="30"/>
      <c r="K210" s="30" t="str">
        <f>IFERROR(VLOOKUP(C210,T_CÓDIGO[#All],3,FALSE),"")</f>
        <v/>
      </c>
      <c r="L210" s="28"/>
      <c r="M210" s="28"/>
      <c r="N210" s="30"/>
    </row>
    <row r="211" spans="1:14" s="2" customFormat="1" ht="15" thickBot="1" x14ac:dyDescent="0.35">
      <c r="A211" s="29"/>
      <c r="B211" s="30">
        <f t="shared" si="3"/>
        <v>1</v>
      </c>
      <c r="C211" s="28"/>
      <c r="D211" s="35" t="str">
        <f>IFERROR(VLOOKUP(C211,T_CÓDIGO[#All],4,FALSE),"")</f>
        <v/>
      </c>
      <c r="E211" s="30" t="str">
        <f>IFERROR(VLOOKUP(C211,T_CÓDIGO[#All],6,FALSE),"")</f>
        <v/>
      </c>
      <c r="F211" s="28"/>
      <c r="G211" s="30"/>
      <c r="H211" s="28"/>
      <c r="I211" s="30"/>
      <c r="J211" s="30"/>
      <c r="K211" s="30" t="str">
        <f>IFERROR(VLOOKUP(C211,T_CÓDIGO[#All],3,FALSE),"")</f>
        <v/>
      </c>
      <c r="L211" s="28"/>
      <c r="M211" s="28"/>
      <c r="N211" s="30"/>
    </row>
    <row r="212" spans="1:14" s="2" customFormat="1" ht="15" thickBot="1" x14ac:dyDescent="0.35">
      <c r="A212" s="29"/>
      <c r="B212" s="30">
        <f t="shared" si="3"/>
        <v>1</v>
      </c>
      <c r="C212" s="28"/>
      <c r="D212" s="35" t="str">
        <f>IFERROR(VLOOKUP(C212,T_CÓDIGO[#All],4,FALSE),"")</f>
        <v/>
      </c>
      <c r="E212" s="30" t="str">
        <f>IFERROR(VLOOKUP(C212,T_CÓDIGO[#All],6,FALSE),"")</f>
        <v/>
      </c>
      <c r="F212" s="28"/>
      <c r="G212" s="30"/>
      <c r="H212" s="28"/>
      <c r="I212" s="30"/>
      <c r="J212" s="30"/>
      <c r="K212" s="30" t="str">
        <f>IFERROR(VLOOKUP(C212,T_CÓDIGO[#All],3,FALSE),"")</f>
        <v/>
      </c>
      <c r="L212" s="28"/>
      <c r="M212" s="28"/>
      <c r="N212" s="30"/>
    </row>
    <row r="213" spans="1:14" s="2" customFormat="1" ht="15" thickBot="1" x14ac:dyDescent="0.35">
      <c r="A213" s="29"/>
      <c r="B213" s="30">
        <f t="shared" si="3"/>
        <v>1</v>
      </c>
      <c r="C213" s="28"/>
      <c r="D213" s="35" t="str">
        <f>IFERROR(VLOOKUP(C213,T_CÓDIGO[#All],4,FALSE),"")</f>
        <v/>
      </c>
      <c r="E213" s="30" t="str">
        <f>IFERROR(VLOOKUP(C213,T_CÓDIGO[#All],6,FALSE),"")</f>
        <v/>
      </c>
      <c r="F213" s="28"/>
      <c r="G213" s="30"/>
      <c r="H213" s="28"/>
      <c r="I213" s="30"/>
      <c r="J213" s="30"/>
      <c r="K213" s="30" t="str">
        <f>IFERROR(VLOOKUP(C213,T_CÓDIGO[#All],3,FALSE),"")</f>
        <v/>
      </c>
      <c r="L213" s="28"/>
      <c r="M213" s="28"/>
      <c r="N213" s="30"/>
    </row>
    <row r="214" spans="1:14" s="2" customFormat="1" ht="15" thickBot="1" x14ac:dyDescent="0.35">
      <c r="A214" s="29"/>
      <c r="B214" s="30">
        <f t="shared" si="3"/>
        <v>1</v>
      </c>
      <c r="C214" s="28"/>
      <c r="D214" s="35" t="str">
        <f>IFERROR(VLOOKUP(C214,T_CÓDIGO[#All],4,FALSE),"")</f>
        <v/>
      </c>
      <c r="E214" s="30" t="str">
        <f>IFERROR(VLOOKUP(C214,T_CÓDIGO[#All],6,FALSE),"")</f>
        <v/>
      </c>
      <c r="F214" s="28"/>
      <c r="G214" s="30"/>
      <c r="H214" s="28"/>
      <c r="I214" s="30"/>
      <c r="J214" s="30"/>
      <c r="K214" s="30" t="str">
        <f>IFERROR(VLOOKUP(C214,T_CÓDIGO[#All],3,FALSE),"")</f>
        <v/>
      </c>
      <c r="L214" s="28"/>
      <c r="M214" s="28"/>
      <c r="N214" s="30"/>
    </row>
    <row r="215" spans="1:14" s="2" customFormat="1" ht="15" thickBot="1" x14ac:dyDescent="0.35">
      <c r="A215" s="29"/>
      <c r="B215" s="30">
        <f t="shared" si="3"/>
        <v>1</v>
      </c>
      <c r="C215" s="28"/>
      <c r="D215" s="35" t="str">
        <f>IFERROR(VLOOKUP(C215,T_CÓDIGO[#All],4,FALSE),"")</f>
        <v/>
      </c>
      <c r="E215" s="30" t="str">
        <f>IFERROR(VLOOKUP(C215,T_CÓDIGO[#All],6,FALSE),"")</f>
        <v/>
      </c>
      <c r="F215" s="28"/>
      <c r="G215" s="30"/>
      <c r="H215" s="28"/>
      <c r="I215" s="30"/>
      <c r="J215" s="30"/>
      <c r="K215" s="30" t="str">
        <f>IFERROR(VLOOKUP(C215,T_CÓDIGO[#All],3,FALSE),"")</f>
        <v/>
      </c>
      <c r="L215" s="28"/>
      <c r="M215" s="28"/>
      <c r="N215" s="30"/>
    </row>
    <row r="216" spans="1:14" s="2" customFormat="1" ht="15" thickBot="1" x14ac:dyDescent="0.35">
      <c r="A216" s="29"/>
      <c r="B216" s="30">
        <f t="shared" si="3"/>
        <v>1</v>
      </c>
      <c r="C216" s="28"/>
      <c r="D216" s="35" t="str">
        <f>IFERROR(VLOOKUP(C216,T_CÓDIGO[#All],4,FALSE),"")</f>
        <v/>
      </c>
      <c r="E216" s="30" t="str">
        <f>IFERROR(VLOOKUP(C216,T_CÓDIGO[#All],6,FALSE),"")</f>
        <v/>
      </c>
      <c r="F216" s="28"/>
      <c r="G216" s="30"/>
      <c r="H216" s="28"/>
      <c r="I216" s="30"/>
      <c r="J216" s="30"/>
      <c r="K216" s="30" t="str">
        <f>IFERROR(VLOOKUP(C216,T_CÓDIGO[#All],3,FALSE),"")</f>
        <v/>
      </c>
      <c r="L216" s="28"/>
      <c r="M216" s="28"/>
      <c r="N216" s="30"/>
    </row>
    <row r="217" spans="1:14" s="2" customFormat="1" ht="15" thickBot="1" x14ac:dyDescent="0.35">
      <c r="A217" s="29"/>
      <c r="B217" s="30">
        <f t="shared" si="3"/>
        <v>1</v>
      </c>
      <c r="C217" s="28"/>
      <c r="D217" s="35" t="str">
        <f>IFERROR(VLOOKUP(C217,T_CÓDIGO[#All],4,FALSE),"")</f>
        <v/>
      </c>
      <c r="E217" s="30" t="str">
        <f>IFERROR(VLOOKUP(C217,T_CÓDIGO[#All],6,FALSE),"")</f>
        <v/>
      </c>
      <c r="F217" s="28"/>
      <c r="G217" s="30"/>
      <c r="H217" s="28"/>
      <c r="I217" s="30"/>
      <c r="J217" s="30"/>
      <c r="K217" s="30" t="str">
        <f>IFERROR(VLOOKUP(C217,T_CÓDIGO[#All],3,FALSE),"")</f>
        <v/>
      </c>
      <c r="L217" s="28"/>
      <c r="M217" s="28"/>
      <c r="N217" s="30"/>
    </row>
    <row r="218" spans="1:14" s="2" customFormat="1" ht="15" thickBot="1" x14ac:dyDescent="0.35">
      <c r="A218" s="29"/>
      <c r="B218" s="30">
        <f t="shared" si="3"/>
        <v>1</v>
      </c>
      <c r="C218" s="28"/>
      <c r="D218" s="35" t="str">
        <f>IFERROR(VLOOKUP(C218,T_CÓDIGO[#All],4,FALSE),"")</f>
        <v/>
      </c>
      <c r="E218" s="30" t="str">
        <f>IFERROR(VLOOKUP(C218,T_CÓDIGO[#All],6,FALSE),"")</f>
        <v/>
      </c>
      <c r="F218" s="28"/>
      <c r="G218" s="30"/>
      <c r="H218" s="28"/>
      <c r="I218" s="30"/>
      <c r="J218" s="30"/>
      <c r="K218" s="30" t="str">
        <f>IFERROR(VLOOKUP(C218,T_CÓDIGO[#All],3,FALSE),"")</f>
        <v/>
      </c>
      <c r="L218" s="28"/>
      <c r="M218" s="28"/>
      <c r="N218" s="30"/>
    </row>
    <row r="219" spans="1:14" s="2" customFormat="1" ht="15" thickBot="1" x14ac:dyDescent="0.35">
      <c r="A219" s="29"/>
      <c r="B219" s="30">
        <f t="shared" si="3"/>
        <v>1</v>
      </c>
      <c r="C219" s="28"/>
      <c r="D219" s="35" t="str">
        <f>IFERROR(VLOOKUP(C219,T_CÓDIGO[#All],4,FALSE),"")</f>
        <v/>
      </c>
      <c r="E219" s="30" t="str">
        <f>IFERROR(VLOOKUP(C219,T_CÓDIGO[#All],6,FALSE),"")</f>
        <v/>
      </c>
      <c r="F219" s="28"/>
      <c r="G219" s="30"/>
      <c r="H219" s="28"/>
      <c r="I219" s="30"/>
      <c r="J219" s="30"/>
      <c r="K219" s="30" t="str">
        <f>IFERROR(VLOOKUP(C219,T_CÓDIGO[#All],3,FALSE),"")</f>
        <v/>
      </c>
      <c r="L219" s="28"/>
      <c r="M219" s="28"/>
      <c r="N219" s="30"/>
    </row>
    <row r="220" spans="1:14" s="2" customFormat="1" ht="15" thickBot="1" x14ac:dyDescent="0.35">
      <c r="A220" s="29"/>
      <c r="B220" s="30">
        <f t="shared" si="3"/>
        <v>1</v>
      </c>
      <c r="C220" s="28"/>
      <c r="D220" s="35" t="str">
        <f>IFERROR(VLOOKUP(C220,T_CÓDIGO[#All],4,FALSE),"")</f>
        <v/>
      </c>
      <c r="E220" s="30" t="str">
        <f>IFERROR(VLOOKUP(C220,T_CÓDIGO[#All],6,FALSE),"")</f>
        <v/>
      </c>
      <c r="F220" s="28"/>
      <c r="G220" s="30"/>
      <c r="H220" s="28"/>
      <c r="I220" s="30"/>
      <c r="J220" s="30"/>
      <c r="K220" s="30" t="str">
        <f>IFERROR(VLOOKUP(C220,T_CÓDIGO[#All],3,FALSE),"")</f>
        <v/>
      </c>
      <c r="L220" s="28"/>
      <c r="M220" s="28"/>
      <c r="N220" s="30"/>
    </row>
    <row r="221" spans="1:14" s="2" customFormat="1" ht="15" thickBot="1" x14ac:dyDescent="0.35">
      <c r="A221" s="29"/>
      <c r="B221" s="30">
        <f t="shared" si="3"/>
        <v>1</v>
      </c>
      <c r="C221" s="28"/>
      <c r="D221" s="35" t="str">
        <f>IFERROR(VLOOKUP(C221,T_CÓDIGO[#All],4,FALSE),"")</f>
        <v/>
      </c>
      <c r="E221" s="30" t="str">
        <f>IFERROR(VLOOKUP(C221,T_CÓDIGO[#All],6,FALSE),"")</f>
        <v/>
      </c>
      <c r="F221" s="28"/>
      <c r="G221" s="30"/>
      <c r="H221" s="28"/>
      <c r="I221" s="30"/>
      <c r="J221" s="30"/>
      <c r="K221" s="30" t="str">
        <f>IFERROR(VLOOKUP(C221,T_CÓDIGO[#All],3,FALSE),"")</f>
        <v/>
      </c>
      <c r="L221" s="28"/>
      <c r="M221" s="28"/>
      <c r="N221" s="30"/>
    </row>
    <row r="222" spans="1:14" s="2" customFormat="1" ht="15" thickBot="1" x14ac:dyDescent="0.35">
      <c r="A222" s="29"/>
      <c r="B222" s="30">
        <f t="shared" si="3"/>
        <v>1</v>
      </c>
      <c r="C222" s="28"/>
      <c r="D222" s="35" t="str">
        <f>IFERROR(VLOOKUP(C222,T_CÓDIGO[#All],4,FALSE),"")</f>
        <v/>
      </c>
      <c r="E222" s="30" t="str">
        <f>IFERROR(VLOOKUP(C222,T_CÓDIGO[#All],6,FALSE),"")</f>
        <v/>
      </c>
      <c r="F222" s="28"/>
      <c r="G222" s="30"/>
      <c r="H222" s="28"/>
      <c r="I222" s="30"/>
      <c r="J222" s="30"/>
      <c r="K222" s="30" t="str">
        <f>IFERROR(VLOOKUP(C222,T_CÓDIGO[#All],3,FALSE),"")</f>
        <v/>
      </c>
      <c r="L222" s="28"/>
      <c r="M222" s="28"/>
      <c r="N222" s="30"/>
    </row>
    <row r="223" spans="1:14" s="2" customFormat="1" ht="15" thickBot="1" x14ac:dyDescent="0.35">
      <c r="A223" s="29"/>
      <c r="B223" s="30">
        <f t="shared" si="3"/>
        <v>1</v>
      </c>
      <c r="C223" s="28"/>
      <c r="D223" s="35" t="str">
        <f>IFERROR(VLOOKUP(C223,T_CÓDIGO[#All],4,FALSE),"")</f>
        <v/>
      </c>
      <c r="E223" s="30" t="str">
        <f>IFERROR(VLOOKUP(C223,T_CÓDIGO[#All],6,FALSE),"")</f>
        <v/>
      </c>
      <c r="F223" s="28"/>
      <c r="G223" s="30"/>
      <c r="H223" s="28"/>
      <c r="I223" s="30"/>
      <c r="J223" s="30"/>
      <c r="K223" s="30" t="str">
        <f>IFERROR(VLOOKUP(C223,T_CÓDIGO[#All],3,FALSE),"")</f>
        <v/>
      </c>
      <c r="L223" s="28"/>
      <c r="M223" s="28"/>
      <c r="N223" s="30"/>
    </row>
    <row r="224" spans="1:14" s="2" customFormat="1" ht="15" thickBot="1" x14ac:dyDescent="0.35">
      <c r="A224" s="29"/>
      <c r="B224" s="30">
        <f t="shared" si="3"/>
        <v>1</v>
      </c>
      <c r="C224" s="28"/>
      <c r="D224" s="35" t="str">
        <f>IFERROR(VLOOKUP(C224,T_CÓDIGO[#All],4,FALSE),"")</f>
        <v/>
      </c>
      <c r="E224" s="30" t="str">
        <f>IFERROR(VLOOKUP(C224,T_CÓDIGO[#All],6,FALSE),"")</f>
        <v/>
      </c>
      <c r="F224" s="28"/>
      <c r="G224" s="30"/>
      <c r="H224" s="28"/>
      <c r="I224" s="30"/>
      <c r="J224" s="30"/>
      <c r="K224" s="30" t="str">
        <f>IFERROR(VLOOKUP(C224,T_CÓDIGO[#All],3,FALSE),"")</f>
        <v/>
      </c>
      <c r="L224" s="28"/>
      <c r="M224" s="28"/>
      <c r="N224" s="30"/>
    </row>
    <row r="225" spans="1:14" s="2" customFormat="1" ht="15" thickBot="1" x14ac:dyDescent="0.35">
      <c r="A225" s="29"/>
      <c r="B225" s="30">
        <f t="shared" si="3"/>
        <v>1</v>
      </c>
      <c r="C225" s="28"/>
      <c r="D225" s="35" t="str">
        <f>IFERROR(VLOOKUP(C225,T_CÓDIGO[#All],4,FALSE),"")</f>
        <v/>
      </c>
      <c r="E225" s="30" t="str">
        <f>IFERROR(VLOOKUP(C225,T_CÓDIGO[#All],6,FALSE),"")</f>
        <v/>
      </c>
      <c r="F225" s="28"/>
      <c r="G225" s="30"/>
      <c r="H225" s="28"/>
      <c r="I225" s="30"/>
      <c r="J225" s="30"/>
      <c r="K225" s="30" t="str">
        <f>IFERROR(VLOOKUP(C225,T_CÓDIGO[#All],3,FALSE),"")</f>
        <v/>
      </c>
      <c r="L225" s="28"/>
      <c r="M225" s="28"/>
      <c r="N225" s="30"/>
    </row>
    <row r="226" spans="1:14" s="2" customFormat="1" ht="15" thickBot="1" x14ac:dyDescent="0.35">
      <c r="A226" s="29"/>
      <c r="B226" s="30">
        <f t="shared" si="3"/>
        <v>1</v>
      </c>
      <c r="C226" s="28"/>
      <c r="D226" s="35" t="str">
        <f>IFERROR(VLOOKUP(C226,T_CÓDIGO[#All],4,FALSE),"")</f>
        <v/>
      </c>
      <c r="E226" s="30" t="str">
        <f>IFERROR(VLOOKUP(C226,T_CÓDIGO[#All],6,FALSE),"")</f>
        <v/>
      </c>
      <c r="F226" s="28"/>
      <c r="G226" s="30"/>
      <c r="H226" s="28"/>
      <c r="I226" s="30"/>
      <c r="J226" s="30"/>
      <c r="K226" s="30" t="str">
        <f>IFERROR(VLOOKUP(C226,T_CÓDIGO[#All],3,FALSE),"")</f>
        <v/>
      </c>
      <c r="L226" s="28"/>
      <c r="M226" s="28"/>
      <c r="N226" s="30"/>
    </row>
    <row r="227" spans="1:14" s="2" customFormat="1" ht="15" thickBot="1" x14ac:dyDescent="0.35">
      <c r="A227" s="29"/>
      <c r="B227" s="30">
        <f t="shared" si="3"/>
        <v>1</v>
      </c>
      <c r="C227" s="28"/>
      <c r="D227" s="35" t="str">
        <f>IFERROR(VLOOKUP(C227,T_CÓDIGO[#All],4,FALSE),"")</f>
        <v/>
      </c>
      <c r="E227" s="30" t="str">
        <f>IFERROR(VLOOKUP(C227,T_CÓDIGO[#All],6,FALSE),"")</f>
        <v/>
      </c>
      <c r="F227" s="28"/>
      <c r="G227" s="30"/>
      <c r="H227" s="28"/>
      <c r="I227" s="30"/>
      <c r="J227" s="30"/>
      <c r="K227" s="30" t="str">
        <f>IFERROR(VLOOKUP(C227,T_CÓDIGO[#All],3,FALSE),"")</f>
        <v/>
      </c>
      <c r="L227" s="28"/>
      <c r="M227" s="28"/>
      <c r="N227" s="30"/>
    </row>
    <row r="228" spans="1:14" s="2" customFormat="1" ht="15" thickBot="1" x14ac:dyDescent="0.35">
      <c r="A228" s="29"/>
      <c r="B228" s="30">
        <f t="shared" si="3"/>
        <v>1</v>
      </c>
      <c r="C228" s="28"/>
      <c r="D228" s="35" t="str">
        <f>IFERROR(VLOOKUP(C228,T_CÓDIGO[#All],4,FALSE),"")</f>
        <v/>
      </c>
      <c r="E228" s="30" t="str">
        <f>IFERROR(VLOOKUP(C228,T_CÓDIGO[#All],6,FALSE),"")</f>
        <v/>
      </c>
      <c r="F228" s="28"/>
      <c r="G228" s="30"/>
      <c r="H228" s="28"/>
      <c r="I228" s="30"/>
      <c r="J228" s="30"/>
      <c r="K228" s="30" t="str">
        <f>IFERROR(VLOOKUP(C228,T_CÓDIGO[#All],3,FALSE),"")</f>
        <v/>
      </c>
      <c r="L228" s="28"/>
      <c r="M228" s="28"/>
      <c r="N228" s="30"/>
    </row>
    <row r="229" spans="1:14" s="2" customFormat="1" ht="15" thickBot="1" x14ac:dyDescent="0.35">
      <c r="A229" s="29"/>
      <c r="B229" s="30">
        <f t="shared" si="3"/>
        <v>1</v>
      </c>
      <c r="C229" s="28"/>
      <c r="D229" s="35" t="str">
        <f>IFERROR(VLOOKUP(C229,T_CÓDIGO[#All],4,FALSE),"")</f>
        <v/>
      </c>
      <c r="E229" s="30" t="str">
        <f>IFERROR(VLOOKUP(C229,T_CÓDIGO[#All],6,FALSE),"")</f>
        <v/>
      </c>
      <c r="F229" s="28"/>
      <c r="G229" s="30"/>
      <c r="H229" s="28"/>
      <c r="I229" s="30"/>
      <c r="J229" s="30"/>
      <c r="K229" s="30" t="str">
        <f>IFERROR(VLOOKUP(C229,T_CÓDIGO[#All],3,FALSE),"")</f>
        <v/>
      </c>
      <c r="L229" s="28"/>
      <c r="M229" s="28"/>
      <c r="N229" s="30"/>
    </row>
    <row r="230" spans="1:14" s="2" customFormat="1" ht="15" thickBot="1" x14ac:dyDescent="0.35">
      <c r="A230" s="29"/>
      <c r="B230" s="30">
        <f t="shared" si="3"/>
        <v>1</v>
      </c>
      <c r="C230" s="28"/>
      <c r="D230" s="35" t="str">
        <f>IFERROR(VLOOKUP(C230,T_CÓDIGO[#All],4,FALSE),"")</f>
        <v/>
      </c>
      <c r="E230" s="30" t="str">
        <f>IFERROR(VLOOKUP(C230,T_CÓDIGO[#All],6,FALSE),"")</f>
        <v/>
      </c>
      <c r="F230" s="28"/>
      <c r="G230" s="30"/>
      <c r="H230" s="28"/>
      <c r="I230" s="30"/>
      <c r="J230" s="30"/>
      <c r="K230" s="30" t="str">
        <f>IFERROR(VLOOKUP(C230,T_CÓDIGO[#All],3,FALSE),"")</f>
        <v/>
      </c>
      <c r="L230" s="28"/>
      <c r="M230" s="28"/>
      <c r="N230" s="30"/>
    </row>
    <row r="231" spans="1:14" s="2" customFormat="1" ht="15" thickBot="1" x14ac:dyDescent="0.35">
      <c r="A231" s="29"/>
      <c r="B231" s="30">
        <f t="shared" si="3"/>
        <v>1</v>
      </c>
      <c r="C231" s="28"/>
      <c r="D231" s="35" t="str">
        <f>IFERROR(VLOOKUP(C231,T_CÓDIGO[#All],4,FALSE),"")</f>
        <v/>
      </c>
      <c r="E231" s="30" t="str">
        <f>IFERROR(VLOOKUP(C231,T_CÓDIGO[#All],6,FALSE),"")</f>
        <v/>
      </c>
      <c r="F231" s="28"/>
      <c r="G231" s="30"/>
      <c r="H231" s="28"/>
      <c r="I231" s="30"/>
      <c r="J231" s="30"/>
      <c r="K231" s="30" t="str">
        <f>IFERROR(VLOOKUP(C231,T_CÓDIGO[#All],3,FALSE),"")</f>
        <v/>
      </c>
      <c r="L231" s="28"/>
      <c r="M231" s="28"/>
      <c r="N231" s="30"/>
    </row>
    <row r="232" spans="1:14" s="2" customFormat="1" ht="15" thickBot="1" x14ac:dyDescent="0.35">
      <c r="A232" s="29"/>
      <c r="B232" s="30">
        <f t="shared" si="3"/>
        <v>1</v>
      </c>
      <c r="C232" s="28"/>
      <c r="D232" s="35" t="str">
        <f>IFERROR(VLOOKUP(C232,T_CÓDIGO[#All],4,FALSE),"")</f>
        <v/>
      </c>
      <c r="E232" s="30" t="str">
        <f>IFERROR(VLOOKUP(C232,T_CÓDIGO[#All],6,FALSE),"")</f>
        <v/>
      </c>
      <c r="F232" s="28"/>
      <c r="G232" s="30"/>
      <c r="H232" s="28"/>
      <c r="I232" s="30"/>
      <c r="J232" s="30"/>
      <c r="K232" s="30" t="str">
        <f>IFERROR(VLOOKUP(C232,T_CÓDIGO[#All],3,FALSE),"")</f>
        <v/>
      </c>
      <c r="L232" s="28"/>
      <c r="M232" s="28"/>
      <c r="N232" s="30"/>
    </row>
    <row r="233" spans="1:14" s="2" customFormat="1" ht="15" thickBot="1" x14ac:dyDescent="0.35">
      <c r="A233" s="29"/>
      <c r="B233" s="30">
        <f t="shared" si="3"/>
        <v>1</v>
      </c>
      <c r="C233" s="28"/>
      <c r="D233" s="35" t="str">
        <f>IFERROR(VLOOKUP(C233,T_CÓDIGO[#All],4,FALSE),"")</f>
        <v/>
      </c>
      <c r="E233" s="30" t="str">
        <f>IFERROR(VLOOKUP(C233,T_CÓDIGO[#All],6,FALSE),"")</f>
        <v/>
      </c>
      <c r="F233" s="28"/>
      <c r="G233" s="30"/>
      <c r="H233" s="28"/>
      <c r="I233" s="30"/>
      <c r="J233" s="30"/>
      <c r="K233" s="30" t="str">
        <f>IFERROR(VLOOKUP(C233,T_CÓDIGO[#All],3,FALSE),"")</f>
        <v/>
      </c>
      <c r="L233" s="28"/>
      <c r="M233" s="28"/>
      <c r="N233" s="30"/>
    </row>
    <row r="234" spans="1:14" s="2" customFormat="1" ht="15" thickBot="1" x14ac:dyDescent="0.35">
      <c r="A234" s="29"/>
      <c r="B234" s="30">
        <f t="shared" si="3"/>
        <v>1</v>
      </c>
      <c r="C234" s="28"/>
      <c r="D234" s="35" t="str">
        <f>IFERROR(VLOOKUP(C234,T_CÓDIGO[#All],4,FALSE),"")</f>
        <v/>
      </c>
      <c r="E234" s="30" t="str">
        <f>IFERROR(VLOOKUP(C234,T_CÓDIGO[#All],6,FALSE),"")</f>
        <v/>
      </c>
      <c r="F234" s="28"/>
      <c r="G234" s="30"/>
      <c r="H234" s="28"/>
      <c r="I234" s="30"/>
      <c r="J234" s="30"/>
      <c r="K234" s="30" t="str">
        <f>IFERROR(VLOOKUP(C234,T_CÓDIGO[#All],3,FALSE),"")</f>
        <v/>
      </c>
      <c r="L234" s="28"/>
      <c r="M234" s="28"/>
      <c r="N234" s="30"/>
    </row>
    <row r="235" spans="1:14" s="2" customFormat="1" ht="15" thickBot="1" x14ac:dyDescent="0.35">
      <c r="A235" s="29"/>
      <c r="B235" s="30">
        <f t="shared" si="3"/>
        <v>1</v>
      </c>
      <c r="C235" s="28"/>
      <c r="D235" s="35" t="str">
        <f>IFERROR(VLOOKUP(C235,T_CÓDIGO[#All],4,FALSE),"")</f>
        <v/>
      </c>
      <c r="E235" s="30" t="str">
        <f>IFERROR(VLOOKUP(C235,T_CÓDIGO[#All],6,FALSE),"")</f>
        <v/>
      </c>
      <c r="F235" s="28"/>
      <c r="G235" s="30"/>
      <c r="H235" s="28"/>
      <c r="I235" s="30"/>
      <c r="J235" s="30"/>
      <c r="K235" s="30" t="str">
        <f>IFERROR(VLOOKUP(C235,T_CÓDIGO[#All],3,FALSE),"")</f>
        <v/>
      </c>
      <c r="L235" s="28"/>
      <c r="M235" s="28"/>
      <c r="N235" s="30"/>
    </row>
    <row r="236" spans="1:14" s="2" customFormat="1" ht="15" thickBot="1" x14ac:dyDescent="0.35">
      <c r="A236" s="29"/>
      <c r="B236" s="30">
        <f t="shared" si="3"/>
        <v>1</v>
      </c>
      <c r="C236" s="28"/>
      <c r="D236" s="35" t="str">
        <f>IFERROR(VLOOKUP(C236,T_CÓDIGO[#All],4,FALSE),"")</f>
        <v/>
      </c>
      <c r="E236" s="30" t="str">
        <f>IFERROR(VLOOKUP(C236,T_CÓDIGO[#All],6,FALSE),"")</f>
        <v/>
      </c>
      <c r="F236" s="28"/>
      <c r="G236" s="30"/>
      <c r="H236" s="28"/>
      <c r="I236" s="30"/>
      <c r="J236" s="30"/>
      <c r="K236" s="30" t="str">
        <f>IFERROR(VLOOKUP(C236,T_CÓDIGO[#All],3,FALSE),"")</f>
        <v/>
      </c>
      <c r="L236" s="28"/>
      <c r="M236" s="28"/>
      <c r="N236" s="30"/>
    </row>
    <row r="237" spans="1:14" s="2" customFormat="1" ht="15" thickBot="1" x14ac:dyDescent="0.35">
      <c r="A237" s="29"/>
      <c r="B237" s="30">
        <f t="shared" si="3"/>
        <v>1</v>
      </c>
      <c r="C237" s="28"/>
      <c r="D237" s="35" t="str">
        <f>IFERROR(VLOOKUP(C237,T_CÓDIGO[#All],4,FALSE),"")</f>
        <v/>
      </c>
      <c r="E237" s="30" t="str">
        <f>IFERROR(VLOOKUP(C237,T_CÓDIGO[#All],6,FALSE),"")</f>
        <v/>
      </c>
      <c r="F237" s="28"/>
      <c r="G237" s="30"/>
      <c r="H237" s="28"/>
      <c r="I237" s="30"/>
      <c r="J237" s="30"/>
      <c r="K237" s="30" t="str">
        <f>IFERROR(VLOOKUP(C237,T_CÓDIGO[#All],3,FALSE),"")</f>
        <v/>
      </c>
      <c r="L237" s="28"/>
      <c r="M237" s="28"/>
      <c r="N237" s="30"/>
    </row>
    <row r="238" spans="1:14" s="2" customFormat="1" ht="15" thickBot="1" x14ac:dyDescent="0.35">
      <c r="A238" s="29"/>
      <c r="B238" s="30">
        <f t="shared" si="3"/>
        <v>1</v>
      </c>
      <c r="C238" s="28"/>
      <c r="D238" s="35" t="str">
        <f>IFERROR(VLOOKUP(C238,T_CÓDIGO[#All],4,FALSE),"")</f>
        <v/>
      </c>
      <c r="E238" s="30" t="str">
        <f>IFERROR(VLOOKUP(C238,T_CÓDIGO[#All],6,FALSE),"")</f>
        <v/>
      </c>
      <c r="F238" s="28"/>
      <c r="G238" s="30"/>
      <c r="H238" s="28"/>
      <c r="I238" s="30"/>
      <c r="J238" s="30"/>
      <c r="K238" s="30" t="str">
        <f>IFERROR(VLOOKUP(C238,T_CÓDIGO[#All],3,FALSE),"")</f>
        <v/>
      </c>
      <c r="L238" s="28"/>
      <c r="M238" s="28"/>
      <c r="N238" s="30"/>
    </row>
    <row r="239" spans="1:14" s="2" customFormat="1" ht="15" thickBot="1" x14ac:dyDescent="0.35">
      <c r="A239" s="29"/>
      <c r="B239" s="30">
        <f t="shared" si="3"/>
        <v>1</v>
      </c>
      <c r="C239" s="28"/>
      <c r="D239" s="35" t="str">
        <f>IFERROR(VLOOKUP(C239,T_CÓDIGO[#All],4,FALSE),"")</f>
        <v/>
      </c>
      <c r="E239" s="30" t="str">
        <f>IFERROR(VLOOKUP(C239,T_CÓDIGO[#All],6,FALSE),"")</f>
        <v/>
      </c>
      <c r="F239" s="28"/>
      <c r="G239" s="30"/>
      <c r="H239" s="28"/>
      <c r="I239" s="30"/>
      <c r="J239" s="30"/>
      <c r="K239" s="30" t="str">
        <f>IFERROR(VLOOKUP(C239,T_CÓDIGO[#All],3,FALSE),"")</f>
        <v/>
      </c>
      <c r="L239" s="28"/>
      <c r="M239" s="28"/>
      <c r="N239" s="30"/>
    </row>
    <row r="240" spans="1:14" s="2" customFormat="1" ht="15" thickBot="1" x14ac:dyDescent="0.35">
      <c r="A240" s="29"/>
      <c r="B240" s="30">
        <f t="shared" si="3"/>
        <v>1</v>
      </c>
      <c r="C240" s="28"/>
      <c r="D240" s="35" t="str">
        <f>IFERROR(VLOOKUP(C240,T_CÓDIGO[#All],4,FALSE),"")</f>
        <v/>
      </c>
      <c r="E240" s="30" t="str">
        <f>IFERROR(VLOOKUP(C240,T_CÓDIGO[#All],6,FALSE),"")</f>
        <v/>
      </c>
      <c r="F240" s="28"/>
      <c r="G240" s="30"/>
      <c r="H240" s="28"/>
      <c r="I240" s="30"/>
      <c r="J240" s="30"/>
      <c r="K240" s="30" t="str">
        <f>IFERROR(VLOOKUP(C240,T_CÓDIGO[#All],3,FALSE),"")</f>
        <v/>
      </c>
      <c r="L240" s="28"/>
      <c r="M240" s="28"/>
      <c r="N240" s="30"/>
    </row>
    <row r="241" spans="1:14" s="2" customFormat="1" ht="15" thickBot="1" x14ac:dyDescent="0.35">
      <c r="A241" s="29"/>
      <c r="B241" s="30">
        <f t="shared" si="3"/>
        <v>1</v>
      </c>
      <c r="C241" s="28"/>
      <c r="D241" s="35" t="str">
        <f>IFERROR(VLOOKUP(C241,T_CÓDIGO[#All],4,FALSE),"")</f>
        <v/>
      </c>
      <c r="E241" s="30" t="str">
        <f>IFERROR(VLOOKUP(C241,T_CÓDIGO[#All],6,FALSE),"")</f>
        <v/>
      </c>
      <c r="F241" s="28"/>
      <c r="G241" s="30"/>
      <c r="H241" s="28"/>
      <c r="I241" s="30"/>
      <c r="J241" s="30"/>
      <c r="K241" s="30" t="str">
        <f>IFERROR(VLOOKUP(C241,T_CÓDIGO[#All],3,FALSE),"")</f>
        <v/>
      </c>
      <c r="L241" s="28"/>
      <c r="M241" s="28"/>
      <c r="N241" s="30"/>
    </row>
    <row r="242" spans="1:14" s="2" customFormat="1" ht="15" thickBot="1" x14ac:dyDescent="0.35">
      <c r="A242" s="29"/>
      <c r="B242" s="30">
        <f t="shared" si="3"/>
        <v>1</v>
      </c>
      <c r="C242" s="28"/>
      <c r="D242" s="35" t="str">
        <f>IFERROR(VLOOKUP(C242,T_CÓDIGO[#All],4,FALSE),"")</f>
        <v/>
      </c>
      <c r="E242" s="30" t="str">
        <f>IFERROR(VLOOKUP(C242,T_CÓDIGO[#All],6,FALSE),"")</f>
        <v/>
      </c>
      <c r="F242" s="28"/>
      <c r="G242" s="30"/>
      <c r="H242" s="28"/>
      <c r="I242" s="30"/>
      <c r="J242" s="30"/>
      <c r="K242" s="30" t="str">
        <f>IFERROR(VLOOKUP(C242,T_CÓDIGO[#All],3,FALSE),"")</f>
        <v/>
      </c>
      <c r="L242" s="28"/>
      <c r="M242" s="28"/>
      <c r="N242" s="30"/>
    </row>
    <row r="243" spans="1:14" s="2" customFormat="1" ht="15" thickBot="1" x14ac:dyDescent="0.35">
      <c r="A243" s="29"/>
      <c r="B243" s="30">
        <f t="shared" si="3"/>
        <v>1</v>
      </c>
      <c r="C243" s="28"/>
      <c r="D243" s="35" t="str">
        <f>IFERROR(VLOOKUP(C243,T_CÓDIGO[#All],4,FALSE),"")</f>
        <v/>
      </c>
      <c r="E243" s="30" t="str">
        <f>IFERROR(VLOOKUP(C243,T_CÓDIGO[#All],6,FALSE),"")</f>
        <v/>
      </c>
      <c r="F243" s="28"/>
      <c r="G243" s="30"/>
      <c r="H243" s="28"/>
      <c r="I243" s="30"/>
      <c r="J243" s="30"/>
      <c r="K243" s="30" t="str">
        <f>IFERROR(VLOOKUP(C243,T_CÓDIGO[#All],3,FALSE),"")</f>
        <v/>
      </c>
      <c r="L243" s="28"/>
      <c r="M243" s="28"/>
      <c r="N243" s="30"/>
    </row>
    <row r="244" spans="1:14" s="2" customFormat="1" ht="15" thickBot="1" x14ac:dyDescent="0.35">
      <c r="A244" s="29"/>
      <c r="B244" s="30">
        <f t="shared" si="3"/>
        <v>1</v>
      </c>
      <c r="C244" s="28"/>
      <c r="D244" s="35" t="str">
        <f>IFERROR(VLOOKUP(C244,T_CÓDIGO[#All],4,FALSE),"")</f>
        <v/>
      </c>
      <c r="E244" s="30" t="str">
        <f>IFERROR(VLOOKUP(C244,T_CÓDIGO[#All],6,FALSE),"")</f>
        <v/>
      </c>
      <c r="F244" s="28"/>
      <c r="G244" s="30"/>
      <c r="H244" s="28"/>
      <c r="I244" s="30"/>
      <c r="J244" s="30"/>
      <c r="K244" s="30" t="str">
        <f>IFERROR(VLOOKUP(C244,T_CÓDIGO[#All],3,FALSE),"")</f>
        <v/>
      </c>
      <c r="L244" s="28"/>
      <c r="M244" s="28"/>
      <c r="N244" s="30"/>
    </row>
    <row r="245" spans="1:14" s="2" customFormat="1" ht="15" thickBot="1" x14ac:dyDescent="0.35">
      <c r="A245" s="29"/>
      <c r="B245" s="30">
        <f t="shared" si="3"/>
        <v>1</v>
      </c>
      <c r="C245" s="28"/>
      <c r="D245" s="35" t="str">
        <f>IFERROR(VLOOKUP(C245,T_CÓDIGO[#All],4,FALSE),"")</f>
        <v/>
      </c>
      <c r="E245" s="30" t="str">
        <f>IFERROR(VLOOKUP(C245,T_CÓDIGO[#All],6,FALSE),"")</f>
        <v/>
      </c>
      <c r="F245" s="28"/>
      <c r="G245" s="30"/>
      <c r="H245" s="28"/>
      <c r="I245" s="30"/>
      <c r="J245" s="30"/>
      <c r="K245" s="30" t="str">
        <f>IFERROR(VLOOKUP(C245,T_CÓDIGO[#All],3,FALSE),"")</f>
        <v/>
      </c>
      <c r="L245" s="28"/>
      <c r="M245" s="28"/>
      <c r="N245" s="30"/>
    </row>
    <row r="246" spans="1:14" s="2" customFormat="1" ht="15" thickBot="1" x14ac:dyDescent="0.35">
      <c r="A246" s="29"/>
      <c r="B246" s="30">
        <f t="shared" si="3"/>
        <v>1</v>
      </c>
      <c r="C246" s="28"/>
      <c r="D246" s="35" t="str">
        <f>IFERROR(VLOOKUP(C246,T_CÓDIGO[#All],4,FALSE),"")</f>
        <v/>
      </c>
      <c r="E246" s="30" t="str">
        <f>IFERROR(VLOOKUP(C246,T_CÓDIGO[#All],6,FALSE),"")</f>
        <v/>
      </c>
      <c r="F246" s="28"/>
      <c r="G246" s="30"/>
      <c r="H246" s="28"/>
      <c r="I246" s="30"/>
      <c r="J246" s="30"/>
      <c r="K246" s="30" t="str">
        <f>IFERROR(VLOOKUP(C246,T_CÓDIGO[#All],3,FALSE),"")</f>
        <v/>
      </c>
      <c r="L246" s="28"/>
      <c r="M246" s="28"/>
      <c r="N246" s="30"/>
    </row>
    <row r="247" spans="1:14" s="2" customFormat="1" ht="15" thickBot="1" x14ac:dyDescent="0.35">
      <c r="A247" s="29"/>
      <c r="B247" s="30">
        <f t="shared" si="3"/>
        <v>1</v>
      </c>
      <c r="C247" s="28"/>
      <c r="D247" s="35" t="str">
        <f>IFERROR(VLOOKUP(C247,T_CÓDIGO[#All],4,FALSE),"")</f>
        <v/>
      </c>
      <c r="E247" s="30" t="str">
        <f>IFERROR(VLOOKUP(C247,T_CÓDIGO[#All],6,FALSE),"")</f>
        <v/>
      </c>
      <c r="F247" s="28"/>
      <c r="G247" s="30"/>
      <c r="H247" s="28"/>
      <c r="I247" s="30"/>
      <c r="J247" s="30"/>
      <c r="K247" s="30" t="str">
        <f>IFERROR(VLOOKUP(C247,T_CÓDIGO[#All],3,FALSE),"")</f>
        <v/>
      </c>
      <c r="L247" s="28"/>
      <c r="M247" s="28"/>
      <c r="N247" s="30"/>
    </row>
    <row r="248" spans="1:14" s="2" customFormat="1" ht="15" thickBot="1" x14ac:dyDescent="0.35">
      <c r="A248" s="29"/>
      <c r="B248" s="30">
        <f t="shared" si="3"/>
        <v>1</v>
      </c>
      <c r="C248" s="28"/>
      <c r="D248" s="35" t="str">
        <f>IFERROR(VLOOKUP(C248,T_CÓDIGO[#All],4,FALSE),"")</f>
        <v/>
      </c>
      <c r="E248" s="30" t="str">
        <f>IFERROR(VLOOKUP(C248,T_CÓDIGO[#All],6,FALSE),"")</f>
        <v/>
      </c>
      <c r="F248" s="28"/>
      <c r="G248" s="30"/>
      <c r="H248" s="28"/>
      <c r="I248" s="30"/>
      <c r="J248" s="30"/>
      <c r="K248" s="30" t="str">
        <f>IFERROR(VLOOKUP(C248,T_CÓDIGO[#All],3,FALSE),"")</f>
        <v/>
      </c>
      <c r="L248" s="28"/>
      <c r="M248" s="28"/>
      <c r="N248" s="30"/>
    </row>
    <row r="249" spans="1:14" s="2" customFormat="1" ht="15" thickBot="1" x14ac:dyDescent="0.35">
      <c r="A249" s="29"/>
      <c r="B249" s="30">
        <f t="shared" si="3"/>
        <v>1</v>
      </c>
      <c r="C249" s="28"/>
      <c r="D249" s="35" t="str">
        <f>IFERROR(VLOOKUP(C249,T_CÓDIGO[#All],4,FALSE),"")</f>
        <v/>
      </c>
      <c r="E249" s="30" t="str">
        <f>IFERROR(VLOOKUP(C249,T_CÓDIGO[#All],6,FALSE),"")</f>
        <v/>
      </c>
      <c r="F249" s="28"/>
      <c r="G249" s="30"/>
      <c r="H249" s="28"/>
      <c r="I249" s="30"/>
      <c r="J249" s="30"/>
      <c r="K249" s="30" t="str">
        <f>IFERROR(VLOOKUP(C249,T_CÓDIGO[#All],3,FALSE),"")</f>
        <v/>
      </c>
      <c r="L249" s="28"/>
      <c r="M249" s="28"/>
      <c r="N249" s="30"/>
    </row>
    <row r="250" spans="1:14" s="2" customFormat="1" ht="15" thickBot="1" x14ac:dyDescent="0.35">
      <c r="A250" s="29"/>
      <c r="B250" s="30">
        <f t="shared" si="3"/>
        <v>1</v>
      </c>
      <c r="C250" s="28"/>
      <c r="D250" s="35" t="str">
        <f>IFERROR(VLOOKUP(C250,T_CÓDIGO[#All],4,FALSE),"")</f>
        <v/>
      </c>
      <c r="E250" s="30" t="str">
        <f>IFERROR(VLOOKUP(C250,T_CÓDIGO[#All],6,FALSE),"")</f>
        <v/>
      </c>
      <c r="F250" s="28"/>
      <c r="G250" s="30"/>
      <c r="H250" s="28"/>
      <c r="I250" s="30"/>
      <c r="J250" s="30"/>
      <c r="K250" s="30" t="str">
        <f>IFERROR(VLOOKUP(C250,T_CÓDIGO[#All],3,FALSE),"")</f>
        <v/>
      </c>
      <c r="L250" s="28"/>
      <c r="M250" s="28"/>
      <c r="N250" s="30"/>
    </row>
    <row r="251" spans="1:14" s="2" customFormat="1" ht="15" thickBot="1" x14ac:dyDescent="0.35">
      <c r="A251" s="29"/>
      <c r="B251" s="30">
        <f t="shared" si="3"/>
        <v>1</v>
      </c>
      <c r="C251" s="28"/>
      <c r="D251" s="35" t="str">
        <f>IFERROR(VLOOKUP(C251,T_CÓDIGO[#All],4,FALSE),"")</f>
        <v/>
      </c>
      <c r="E251" s="30" t="str">
        <f>IFERROR(VLOOKUP(C251,T_CÓDIGO[#All],6,FALSE),"")</f>
        <v/>
      </c>
      <c r="F251" s="28"/>
      <c r="G251" s="30"/>
      <c r="H251" s="28"/>
      <c r="I251" s="30"/>
      <c r="J251" s="30"/>
      <c r="K251" s="30" t="str">
        <f>IFERROR(VLOOKUP(C251,T_CÓDIGO[#All],3,FALSE),"")</f>
        <v/>
      </c>
      <c r="L251" s="28"/>
      <c r="M251" s="28"/>
      <c r="N251" s="30"/>
    </row>
    <row r="252" spans="1:14" s="2" customFormat="1" ht="15" thickBot="1" x14ac:dyDescent="0.35">
      <c r="A252" s="29"/>
      <c r="B252" s="30">
        <f t="shared" si="3"/>
        <v>1</v>
      </c>
      <c r="C252" s="28"/>
      <c r="D252" s="35" t="str">
        <f>IFERROR(VLOOKUP(C252,T_CÓDIGO[#All],4,FALSE),"")</f>
        <v/>
      </c>
      <c r="E252" s="30" t="str">
        <f>IFERROR(VLOOKUP(C252,T_CÓDIGO[#All],6,FALSE),"")</f>
        <v/>
      </c>
      <c r="F252" s="28"/>
      <c r="G252" s="30"/>
      <c r="H252" s="28"/>
      <c r="I252" s="30"/>
      <c r="J252" s="30"/>
      <c r="K252" s="30" t="str">
        <f>IFERROR(VLOOKUP(C252,T_CÓDIGO[#All],3,FALSE),"")</f>
        <v/>
      </c>
      <c r="L252" s="28"/>
      <c r="M252" s="28"/>
      <c r="N252" s="30"/>
    </row>
    <row r="253" spans="1:14" s="2" customFormat="1" ht="15" thickBot="1" x14ac:dyDescent="0.35">
      <c r="A253" s="29"/>
      <c r="B253" s="30">
        <f t="shared" si="3"/>
        <v>1</v>
      </c>
      <c r="C253" s="28"/>
      <c r="D253" s="35" t="str">
        <f>IFERROR(VLOOKUP(C253,T_CÓDIGO[#All],4,FALSE),"")</f>
        <v/>
      </c>
      <c r="E253" s="30" t="str">
        <f>IFERROR(VLOOKUP(C253,T_CÓDIGO[#All],6,FALSE),"")</f>
        <v/>
      </c>
      <c r="F253" s="28"/>
      <c r="G253" s="30"/>
      <c r="H253" s="28"/>
      <c r="I253" s="30"/>
      <c r="J253" s="30"/>
      <c r="K253" s="30" t="str">
        <f>IFERROR(VLOOKUP(C253,T_CÓDIGO[#All],3,FALSE),"")</f>
        <v/>
      </c>
      <c r="L253" s="28"/>
      <c r="M253" s="28"/>
      <c r="N253" s="30"/>
    </row>
    <row r="254" spans="1:14" s="2" customFormat="1" ht="15" thickBot="1" x14ac:dyDescent="0.35">
      <c r="A254" s="29"/>
      <c r="B254" s="30">
        <f t="shared" si="3"/>
        <v>1</v>
      </c>
      <c r="C254" s="28"/>
      <c r="D254" s="35" t="str">
        <f>IFERROR(VLOOKUP(C254,T_CÓDIGO[#All],4,FALSE),"")</f>
        <v/>
      </c>
      <c r="E254" s="30" t="str">
        <f>IFERROR(VLOOKUP(C254,T_CÓDIGO[#All],6,FALSE),"")</f>
        <v/>
      </c>
      <c r="F254" s="28"/>
      <c r="G254" s="30"/>
      <c r="H254" s="28"/>
      <c r="I254" s="30"/>
      <c r="J254" s="30"/>
      <c r="K254" s="30" t="str">
        <f>IFERROR(VLOOKUP(C254,T_CÓDIGO[#All],3,FALSE),"")</f>
        <v/>
      </c>
      <c r="L254" s="28"/>
      <c r="M254" s="28"/>
      <c r="N254" s="30"/>
    </row>
    <row r="255" spans="1:14" s="2" customFormat="1" ht="15" thickBot="1" x14ac:dyDescent="0.35">
      <c r="A255" s="29"/>
      <c r="B255" s="30">
        <f t="shared" si="3"/>
        <v>1</v>
      </c>
      <c r="C255" s="28"/>
      <c r="D255" s="35" t="str">
        <f>IFERROR(VLOOKUP(C255,T_CÓDIGO[#All],4,FALSE),"")</f>
        <v/>
      </c>
      <c r="E255" s="30" t="str">
        <f>IFERROR(VLOOKUP(C255,T_CÓDIGO[#All],6,FALSE),"")</f>
        <v/>
      </c>
      <c r="F255" s="28"/>
      <c r="G255" s="30"/>
      <c r="H255" s="28"/>
      <c r="I255" s="30"/>
      <c r="J255" s="30"/>
      <c r="K255" s="30" t="str">
        <f>IFERROR(VLOOKUP(C255,T_CÓDIGO[#All],3,FALSE),"")</f>
        <v/>
      </c>
      <c r="L255" s="28"/>
      <c r="M255" s="28"/>
      <c r="N255" s="30"/>
    </row>
    <row r="256" spans="1:14" s="2" customFormat="1" ht="15" thickBot="1" x14ac:dyDescent="0.35">
      <c r="A256" s="29"/>
      <c r="B256" s="30">
        <f t="shared" si="3"/>
        <v>1</v>
      </c>
      <c r="C256" s="28"/>
      <c r="D256" s="35" t="str">
        <f>IFERROR(VLOOKUP(C256,T_CÓDIGO[#All],4,FALSE),"")</f>
        <v/>
      </c>
      <c r="E256" s="30" t="str">
        <f>IFERROR(VLOOKUP(C256,T_CÓDIGO[#All],6,FALSE),"")</f>
        <v/>
      </c>
      <c r="F256" s="28"/>
      <c r="G256" s="30"/>
      <c r="H256" s="28"/>
      <c r="I256" s="30"/>
      <c r="J256" s="30"/>
      <c r="K256" s="30" t="str">
        <f>IFERROR(VLOOKUP(C256,T_CÓDIGO[#All],3,FALSE),"")</f>
        <v/>
      </c>
      <c r="L256" s="28"/>
      <c r="M256" s="28"/>
      <c r="N256" s="30"/>
    </row>
    <row r="257" spans="1:14" s="2" customFormat="1" ht="15" thickBot="1" x14ac:dyDescent="0.35">
      <c r="A257" s="29"/>
      <c r="B257" s="30">
        <f t="shared" si="3"/>
        <v>1</v>
      </c>
      <c r="C257" s="28"/>
      <c r="D257" s="35" t="str">
        <f>IFERROR(VLOOKUP(C257,T_CÓDIGO[#All],4,FALSE),"")</f>
        <v/>
      </c>
      <c r="E257" s="30" t="str">
        <f>IFERROR(VLOOKUP(C257,T_CÓDIGO[#All],6,FALSE),"")</f>
        <v/>
      </c>
      <c r="F257" s="28"/>
      <c r="G257" s="30"/>
      <c r="H257" s="28"/>
      <c r="I257" s="30"/>
      <c r="J257" s="30"/>
      <c r="K257" s="30" t="str">
        <f>IFERROR(VLOOKUP(C257,T_CÓDIGO[#All],3,FALSE),"")</f>
        <v/>
      </c>
      <c r="L257" s="28"/>
      <c r="M257" s="28"/>
      <c r="N257" s="30"/>
    </row>
    <row r="258" spans="1:14" s="2" customFormat="1" ht="15" thickBot="1" x14ac:dyDescent="0.35">
      <c r="A258" s="29"/>
      <c r="B258" s="30">
        <f t="shared" si="3"/>
        <v>1</v>
      </c>
      <c r="C258" s="28"/>
      <c r="D258" s="35" t="str">
        <f>IFERROR(VLOOKUP(C258,T_CÓDIGO[#All],4,FALSE),"")</f>
        <v/>
      </c>
      <c r="E258" s="30" t="str">
        <f>IFERROR(VLOOKUP(C258,T_CÓDIGO[#All],6,FALSE),"")</f>
        <v/>
      </c>
      <c r="F258" s="28"/>
      <c r="G258" s="30"/>
      <c r="H258" s="28"/>
      <c r="I258" s="30"/>
      <c r="J258" s="30"/>
      <c r="K258" s="30" t="str">
        <f>IFERROR(VLOOKUP(C258,T_CÓDIGO[#All],3,FALSE),"")</f>
        <v/>
      </c>
      <c r="L258" s="28"/>
      <c r="M258" s="28"/>
      <c r="N258" s="30"/>
    </row>
    <row r="259" spans="1:14" s="2" customFormat="1" ht="15" thickBot="1" x14ac:dyDescent="0.35">
      <c r="A259" s="29"/>
      <c r="B259" s="30">
        <f t="shared" si="3"/>
        <v>1</v>
      </c>
      <c r="C259" s="28"/>
      <c r="D259" s="35" t="str">
        <f>IFERROR(VLOOKUP(C259,T_CÓDIGO[#All],4,FALSE),"")</f>
        <v/>
      </c>
      <c r="E259" s="30" t="str">
        <f>IFERROR(VLOOKUP(C259,T_CÓDIGO[#All],6,FALSE),"")</f>
        <v/>
      </c>
      <c r="F259" s="28"/>
      <c r="G259" s="30"/>
      <c r="H259" s="28"/>
      <c r="I259" s="30"/>
      <c r="J259" s="30"/>
      <c r="K259" s="30" t="str">
        <f>IFERROR(VLOOKUP(C259,T_CÓDIGO[#All],3,FALSE),"")</f>
        <v/>
      </c>
      <c r="L259" s="28"/>
      <c r="M259" s="28"/>
      <c r="N259" s="30"/>
    </row>
    <row r="260" spans="1:14" s="2" customFormat="1" ht="15" thickBot="1" x14ac:dyDescent="0.35">
      <c r="A260" s="29"/>
      <c r="B260" s="30">
        <f t="shared" si="3"/>
        <v>1</v>
      </c>
      <c r="C260" s="28"/>
      <c r="D260" s="35" t="str">
        <f>IFERROR(VLOOKUP(C260,T_CÓDIGO[#All],4,FALSE),"")</f>
        <v/>
      </c>
      <c r="E260" s="30" t="str">
        <f>IFERROR(VLOOKUP(C260,T_CÓDIGO[#All],6,FALSE),"")</f>
        <v/>
      </c>
      <c r="F260" s="28"/>
      <c r="G260" s="30"/>
      <c r="H260" s="28"/>
      <c r="I260" s="30"/>
      <c r="J260" s="30"/>
      <c r="K260" s="30" t="str">
        <f>IFERROR(VLOOKUP(C260,T_CÓDIGO[#All],3,FALSE),"")</f>
        <v/>
      </c>
      <c r="L260" s="28"/>
      <c r="M260" s="28"/>
      <c r="N260" s="30"/>
    </row>
    <row r="261" spans="1:14" s="2" customFormat="1" ht="15" thickBot="1" x14ac:dyDescent="0.35">
      <c r="A261" s="29"/>
      <c r="B261" s="30">
        <f t="shared" si="3"/>
        <v>1</v>
      </c>
      <c r="C261" s="28"/>
      <c r="D261" s="35" t="str">
        <f>IFERROR(VLOOKUP(C261,T_CÓDIGO[#All],4,FALSE),"")</f>
        <v/>
      </c>
      <c r="E261" s="30" t="str">
        <f>IFERROR(VLOOKUP(C261,T_CÓDIGO[#All],6,FALSE),"")</f>
        <v/>
      </c>
      <c r="F261" s="28"/>
      <c r="G261" s="30"/>
      <c r="H261" s="28"/>
      <c r="I261" s="30"/>
      <c r="J261" s="30"/>
      <c r="K261" s="30" t="str">
        <f>IFERROR(VLOOKUP(C261,T_CÓDIGO[#All],3,FALSE),"")</f>
        <v/>
      </c>
      <c r="L261" s="28"/>
      <c r="M261" s="28"/>
      <c r="N261" s="30"/>
    </row>
    <row r="262" spans="1:14" s="2" customFormat="1" ht="15" thickBot="1" x14ac:dyDescent="0.35">
      <c r="A262" s="29"/>
      <c r="B262" s="30">
        <f t="shared" si="3"/>
        <v>1</v>
      </c>
      <c r="C262" s="28"/>
      <c r="D262" s="35" t="str">
        <f>IFERROR(VLOOKUP(C262,T_CÓDIGO[#All],4,FALSE),"")</f>
        <v/>
      </c>
      <c r="E262" s="30" t="str">
        <f>IFERROR(VLOOKUP(C262,T_CÓDIGO[#All],6,FALSE),"")</f>
        <v/>
      </c>
      <c r="F262" s="28"/>
      <c r="G262" s="30"/>
      <c r="H262" s="28"/>
      <c r="I262" s="30"/>
      <c r="J262" s="30"/>
      <c r="K262" s="30" t="str">
        <f>IFERROR(VLOOKUP(C262,T_CÓDIGO[#All],3,FALSE),"")</f>
        <v/>
      </c>
      <c r="L262" s="28"/>
      <c r="M262" s="28"/>
      <c r="N262" s="30"/>
    </row>
    <row r="263" spans="1:14" s="2" customFormat="1" ht="15" thickBot="1" x14ac:dyDescent="0.35">
      <c r="A263" s="29"/>
      <c r="B263" s="30">
        <f t="shared" si="3"/>
        <v>1</v>
      </c>
      <c r="C263" s="28"/>
      <c r="D263" s="35" t="str">
        <f>IFERROR(VLOOKUP(C263,T_CÓDIGO[#All],4,FALSE),"")</f>
        <v/>
      </c>
      <c r="E263" s="30" t="str">
        <f>IFERROR(VLOOKUP(C263,T_CÓDIGO[#All],6,FALSE),"")</f>
        <v/>
      </c>
      <c r="F263" s="28"/>
      <c r="G263" s="30"/>
      <c r="H263" s="28"/>
      <c r="I263" s="30"/>
      <c r="J263" s="30"/>
      <c r="K263" s="30" t="str">
        <f>IFERROR(VLOOKUP(C263,T_CÓDIGO[#All],3,FALSE),"")</f>
        <v/>
      </c>
      <c r="L263" s="28"/>
      <c r="M263" s="28"/>
      <c r="N263" s="30"/>
    </row>
    <row r="264" spans="1:14" s="2" customFormat="1" ht="15" thickBot="1" x14ac:dyDescent="0.35">
      <c r="A264" s="29"/>
      <c r="B264" s="30">
        <f t="shared" si="3"/>
        <v>1</v>
      </c>
      <c r="C264" s="28"/>
      <c r="D264" s="35" t="str">
        <f>IFERROR(VLOOKUP(C264,T_CÓDIGO[#All],4,FALSE),"")</f>
        <v/>
      </c>
      <c r="E264" s="30" t="str">
        <f>IFERROR(VLOOKUP(C264,T_CÓDIGO[#All],6,FALSE),"")</f>
        <v/>
      </c>
      <c r="F264" s="28"/>
      <c r="G264" s="30"/>
      <c r="H264" s="28"/>
      <c r="I264" s="30"/>
      <c r="J264" s="30"/>
      <c r="K264" s="30" t="str">
        <f>IFERROR(VLOOKUP(C264,T_CÓDIGO[#All],3,FALSE),"")</f>
        <v/>
      </c>
      <c r="L264" s="28"/>
      <c r="M264" s="28"/>
      <c r="N264" s="30"/>
    </row>
    <row r="265" spans="1:14" s="2" customFormat="1" ht="15" thickBot="1" x14ac:dyDescent="0.35">
      <c r="A265" s="29"/>
      <c r="B265" s="30">
        <f t="shared" si="3"/>
        <v>1</v>
      </c>
      <c r="C265" s="28"/>
      <c r="D265" s="35" t="str">
        <f>IFERROR(VLOOKUP(C265,T_CÓDIGO[#All],4,FALSE),"")</f>
        <v/>
      </c>
      <c r="E265" s="30" t="str">
        <f>IFERROR(VLOOKUP(C265,T_CÓDIGO[#All],6,FALSE),"")</f>
        <v/>
      </c>
      <c r="F265" s="28"/>
      <c r="G265" s="30"/>
      <c r="H265" s="28"/>
      <c r="I265" s="30"/>
      <c r="J265" s="30"/>
      <c r="K265" s="30" t="str">
        <f>IFERROR(VLOOKUP(C265,T_CÓDIGO[#All],3,FALSE),"")</f>
        <v/>
      </c>
      <c r="L265" s="28"/>
      <c r="M265" s="28"/>
      <c r="N265" s="30"/>
    </row>
    <row r="266" spans="1:14" s="2" customFormat="1" ht="15" thickBot="1" x14ac:dyDescent="0.35">
      <c r="A266" s="29"/>
      <c r="B266" s="30">
        <f t="shared" ref="B266:B329" si="4">MONTH(A266)</f>
        <v>1</v>
      </c>
      <c r="C266" s="28"/>
      <c r="D266" s="35" t="str">
        <f>IFERROR(VLOOKUP(C266,T_CÓDIGO[#All],4,FALSE),"")</f>
        <v/>
      </c>
      <c r="E266" s="30" t="str">
        <f>IFERROR(VLOOKUP(C266,T_CÓDIGO[#All],6,FALSE),"")</f>
        <v/>
      </c>
      <c r="F266" s="28"/>
      <c r="G266" s="30"/>
      <c r="H266" s="28"/>
      <c r="I266" s="30"/>
      <c r="J266" s="30"/>
      <c r="K266" s="30" t="str">
        <f>IFERROR(VLOOKUP(C266,T_CÓDIGO[#All],3,FALSE),"")</f>
        <v/>
      </c>
      <c r="L266" s="28"/>
      <c r="M266" s="28"/>
      <c r="N266" s="30"/>
    </row>
    <row r="267" spans="1:14" s="2" customFormat="1" ht="15" thickBot="1" x14ac:dyDescent="0.35">
      <c r="A267" s="29"/>
      <c r="B267" s="30">
        <f t="shared" si="4"/>
        <v>1</v>
      </c>
      <c r="C267" s="28"/>
      <c r="D267" s="35" t="str">
        <f>IFERROR(VLOOKUP(C267,T_CÓDIGO[#All],4,FALSE),"")</f>
        <v/>
      </c>
      <c r="E267" s="30" t="str">
        <f>IFERROR(VLOOKUP(C267,T_CÓDIGO[#All],6,FALSE),"")</f>
        <v/>
      </c>
      <c r="F267" s="28"/>
      <c r="G267" s="30"/>
      <c r="H267" s="28"/>
      <c r="I267" s="30"/>
      <c r="J267" s="30"/>
      <c r="K267" s="30" t="str">
        <f>IFERROR(VLOOKUP(C267,T_CÓDIGO[#All],3,FALSE),"")</f>
        <v/>
      </c>
      <c r="L267" s="28"/>
      <c r="M267" s="28"/>
      <c r="N267" s="30"/>
    </row>
    <row r="268" spans="1:14" s="2" customFormat="1" ht="15" thickBot="1" x14ac:dyDescent="0.35">
      <c r="A268" s="29"/>
      <c r="B268" s="30">
        <f t="shared" si="4"/>
        <v>1</v>
      </c>
      <c r="C268" s="28"/>
      <c r="D268" s="35" t="str">
        <f>IFERROR(VLOOKUP(C268,T_CÓDIGO[#All],4,FALSE),"")</f>
        <v/>
      </c>
      <c r="E268" s="30" t="str">
        <f>IFERROR(VLOOKUP(C268,T_CÓDIGO[#All],6,FALSE),"")</f>
        <v/>
      </c>
      <c r="F268" s="28"/>
      <c r="G268" s="30"/>
      <c r="H268" s="28"/>
      <c r="I268" s="30"/>
      <c r="J268" s="30"/>
      <c r="K268" s="30" t="str">
        <f>IFERROR(VLOOKUP(C268,T_CÓDIGO[#All],3,FALSE),"")</f>
        <v/>
      </c>
      <c r="L268" s="28"/>
      <c r="M268" s="28"/>
      <c r="N268" s="30"/>
    </row>
    <row r="269" spans="1:14" s="2" customFormat="1" ht="15" thickBot="1" x14ac:dyDescent="0.35">
      <c r="A269" s="29"/>
      <c r="B269" s="30">
        <f t="shared" si="4"/>
        <v>1</v>
      </c>
      <c r="C269" s="28"/>
      <c r="D269" s="35" t="str">
        <f>IFERROR(VLOOKUP(C269,T_CÓDIGO[#All],4,FALSE),"")</f>
        <v/>
      </c>
      <c r="E269" s="30" t="str">
        <f>IFERROR(VLOOKUP(C269,T_CÓDIGO[#All],6,FALSE),"")</f>
        <v/>
      </c>
      <c r="F269" s="28"/>
      <c r="G269" s="30"/>
      <c r="H269" s="28"/>
      <c r="I269" s="30"/>
      <c r="J269" s="30"/>
      <c r="K269" s="30" t="str">
        <f>IFERROR(VLOOKUP(C269,T_CÓDIGO[#All],3,FALSE),"")</f>
        <v/>
      </c>
      <c r="L269" s="28"/>
      <c r="M269" s="28"/>
      <c r="N269" s="30"/>
    </row>
    <row r="270" spans="1:14" s="2" customFormat="1" ht="15" thickBot="1" x14ac:dyDescent="0.35">
      <c r="A270" s="29"/>
      <c r="B270" s="30">
        <f t="shared" si="4"/>
        <v>1</v>
      </c>
      <c r="C270" s="28"/>
      <c r="D270" s="35" t="str">
        <f>IFERROR(VLOOKUP(C270,T_CÓDIGO[#All],4,FALSE),"")</f>
        <v/>
      </c>
      <c r="E270" s="30" t="str">
        <f>IFERROR(VLOOKUP(C270,T_CÓDIGO[#All],6,FALSE),"")</f>
        <v/>
      </c>
      <c r="F270" s="28"/>
      <c r="G270" s="30"/>
      <c r="H270" s="28"/>
      <c r="I270" s="30"/>
      <c r="J270" s="30"/>
      <c r="K270" s="30" t="str">
        <f>IFERROR(VLOOKUP(C270,T_CÓDIGO[#All],3,FALSE),"")</f>
        <v/>
      </c>
      <c r="L270" s="28"/>
      <c r="M270" s="28"/>
      <c r="N270" s="30"/>
    </row>
    <row r="271" spans="1:14" s="2" customFormat="1" ht="15" thickBot="1" x14ac:dyDescent="0.35">
      <c r="A271" s="29"/>
      <c r="B271" s="30">
        <f t="shared" si="4"/>
        <v>1</v>
      </c>
      <c r="C271" s="28"/>
      <c r="D271" s="35" t="str">
        <f>IFERROR(VLOOKUP(C271,T_CÓDIGO[#All],4,FALSE),"")</f>
        <v/>
      </c>
      <c r="E271" s="30" t="str">
        <f>IFERROR(VLOOKUP(C271,T_CÓDIGO[#All],6,FALSE),"")</f>
        <v/>
      </c>
      <c r="F271" s="28"/>
      <c r="G271" s="30"/>
      <c r="H271" s="28"/>
      <c r="I271" s="30"/>
      <c r="J271" s="30"/>
      <c r="K271" s="30" t="str">
        <f>IFERROR(VLOOKUP(C271,T_CÓDIGO[#All],3,FALSE),"")</f>
        <v/>
      </c>
      <c r="L271" s="28"/>
      <c r="M271" s="28"/>
      <c r="N271" s="30"/>
    </row>
    <row r="272" spans="1:14" s="2" customFormat="1" ht="15" thickBot="1" x14ac:dyDescent="0.35">
      <c r="A272" s="29"/>
      <c r="B272" s="30">
        <f t="shared" si="4"/>
        <v>1</v>
      </c>
      <c r="C272" s="28"/>
      <c r="D272" s="35" t="str">
        <f>IFERROR(VLOOKUP(C272,T_CÓDIGO[#All],4,FALSE),"")</f>
        <v/>
      </c>
      <c r="E272" s="30" t="str">
        <f>IFERROR(VLOOKUP(C272,T_CÓDIGO[#All],6,FALSE),"")</f>
        <v/>
      </c>
      <c r="F272" s="28"/>
      <c r="G272" s="30"/>
      <c r="H272" s="28"/>
      <c r="I272" s="30"/>
      <c r="J272" s="30"/>
      <c r="K272" s="30" t="str">
        <f>IFERROR(VLOOKUP(C272,T_CÓDIGO[#All],3,FALSE),"")</f>
        <v/>
      </c>
      <c r="L272" s="28"/>
      <c r="M272" s="28"/>
      <c r="N272" s="30"/>
    </row>
    <row r="273" spans="1:14" s="2" customFormat="1" ht="15" thickBot="1" x14ac:dyDescent="0.35">
      <c r="A273" s="29"/>
      <c r="B273" s="30">
        <f t="shared" si="4"/>
        <v>1</v>
      </c>
      <c r="C273" s="28"/>
      <c r="D273" s="35" t="str">
        <f>IFERROR(VLOOKUP(C273,T_CÓDIGO[#All],4,FALSE),"")</f>
        <v/>
      </c>
      <c r="E273" s="30" t="str">
        <f>IFERROR(VLOOKUP(C273,T_CÓDIGO[#All],6,FALSE),"")</f>
        <v/>
      </c>
      <c r="F273" s="28"/>
      <c r="G273" s="30"/>
      <c r="H273" s="28"/>
      <c r="I273" s="30"/>
      <c r="J273" s="30"/>
      <c r="K273" s="30" t="str">
        <f>IFERROR(VLOOKUP(C273,T_CÓDIGO[#All],3,FALSE),"")</f>
        <v/>
      </c>
      <c r="L273" s="28"/>
      <c r="M273" s="28"/>
      <c r="N273" s="30"/>
    </row>
    <row r="274" spans="1:14" s="2" customFormat="1" ht="15" thickBot="1" x14ac:dyDescent="0.35">
      <c r="A274" s="29"/>
      <c r="B274" s="30">
        <f t="shared" si="4"/>
        <v>1</v>
      </c>
      <c r="C274" s="28"/>
      <c r="D274" s="35" t="str">
        <f>IFERROR(VLOOKUP(C274,T_CÓDIGO[#All],4,FALSE),"")</f>
        <v/>
      </c>
      <c r="E274" s="30" t="str">
        <f>IFERROR(VLOOKUP(C274,T_CÓDIGO[#All],6,FALSE),"")</f>
        <v/>
      </c>
      <c r="F274" s="28"/>
      <c r="G274" s="30"/>
      <c r="H274" s="28"/>
      <c r="I274" s="30"/>
      <c r="J274" s="30"/>
      <c r="K274" s="30" t="str">
        <f>IFERROR(VLOOKUP(C274,T_CÓDIGO[#All],3,FALSE),"")</f>
        <v/>
      </c>
      <c r="L274" s="28"/>
      <c r="M274" s="28"/>
      <c r="N274" s="30"/>
    </row>
    <row r="275" spans="1:14" s="2" customFormat="1" ht="15" thickBot="1" x14ac:dyDescent="0.35">
      <c r="A275" s="29"/>
      <c r="B275" s="30">
        <f t="shared" si="4"/>
        <v>1</v>
      </c>
      <c r="C275" s="28"/>
      <c r="D275" s="35" t="str">
        <f>IFERROR(VLOOKUP(C275,T_CÓDIGO[#All],4,FALSE),"")</f>
        <v/>
      </c>
      <c r="E275" s="30" t="str">
        <f>IFERROR(VLOOKUP(C275,T_CÓDIGO[#All],6,FALSE),"")</f>
        <v/>
      </c>
      <c r="F275" s="28"/>
      <c r="G275" s="30"/>
      <c r="H275" s="28"/>
      <c r="I275" s="30"/>
      <c r="J275" s="30"/>
      <c r="K275" s="30" t="str">
        <f>IFERROR(VLOOKUP(C275,T_CÓDIGO[#All],3,FALSE),"")</f>
        <v/>
      </c>
      <c r="L275" s="28"/>
      <c r="M275" s="28"/>
      <c r="N275" s="30"/>
    </row>
    <row r="276" spans="1:14" s="2" customFormat="1" ht="15" thickBot="1" x14ac:dyDescent="0.35">
      <c r="A276" s="29"/>
      <c r="B276" s="30">
        <f t="shared" si="4"/>
        <v>1</v>
      </c>
      <c r="C276" s="28"/>
      <c r="D276" s="35" t="str">
        <f>IFERROR(VLOOKUP(C276,T_CÓDIGO[#All],4,FALSE),"")</f>
        <v/>
      </c>
      <c r="E276" s="30" t="str">
        <f>IFERROR(VLOOKUP(C276,T_CÓDIGO[#All],6,FALSE),"")</f>
        <v/>
      </c>
      <c r="F276" s="28"/>
      <c r="G276" s="30"/>
      <c r="H276" s="28"/>
      <c r="I276" s="30"/>
      <c r="J276" s="30"/>
      <c r="K276" s="30" t="str">
        <f>IFERROR(VLOOKUP(C276,T_CÓDIGO[#All],3,FALSE),"")</f>
        <v/>
      </c>
      <c r="L276" s="28"/>
      <c r="M276" s="28"/>
      <c r="N276" s="30"/>
    </row>
    <row r="277" spans="1:14" s="2" customFormat="1" ht="15" thickBot="1" x14ac:dyDescent="0.35">
      <c r="A277" s="29"/>
      <c r="B277" s="30">
        <f t="shared" si="4"/>
        <v>1</v>
      </c>
      <c r="C277" s="28"/>
      <c r="D277" s="35" t="str">
        <f>IFERROR(VLOOKUP(C277,T_CÓDIGO[#All],4,FALSE),"")</f>
        <v/>
      </c>
      <c r="E277" s="30" t="str">
        <f>IFERROR(VLOOKUP(C277,T_CÓDIGO[#All],6,FALSE),"")</f>
        <v/>
      </c>
      <c r="F277" s="28"/>
      <c r="G277" s="30"/>
      <c r="H277" s="28"/>
      <c r="I277" s="30"/>
      <c r="J277" s="30"/>
      <c r="K277" s="30" t="str">
        <f>IFERROR(VLOOKUP(C277,T_CÓDIGO[#All],3,FALSE),"")</f>
        <v/>
      </c>
      <c r="L277" s="28"/>
      <c r="M277" s="28"/>
      <c r="N277" s="30"/>
    </row>
    <row r="278" spans="1:14" s="2" customFormat="1" ht="15" thickBot="1" x14ac:dyDescent="0.35">
      <c r="A278" s="29"/>
      <c r="B278" s="30">
        <f t="shared" si="4"/>
        <v>1</v>
      </c>
      <c r="C278" s="28"/>
      <c r="D278" s="35" t="str">
        <f>IFERROR(VLOOKUP(C278,T_CÓDIGO[#All],4,FALSE),"")</f>
        <v/>
      </c>
      <c r="E278" s="30" t="str">
        <f>IFERROR(VLOOKUP(C278,T_CÓDIGO[#All],6,FALSE),"")</f>
        <v/>
      </c>
      <c r="F278" s="28"/>
      <c r="G278" s="30"/>
      <c r="H278" s="28"/>
      <c r="I278" s="30"/>
      <c r="J278" s="30"/>
      <c r="K278" s="30" t="str">
        <f>IFERROR(VLOOKUP(C278,T_CÓDIGO[#All],3,FALSE),"")</f>
        <v/>
      </c>
      <c r="L278" s="28"/>
      <c r="M278" s="28"/>
      <c r="N278" s="30"/>
    </row>
    <row r="279" spans="1:14" s="2" customFormat="1" ht="15" thickBot="1" x14ac:dyDescent="0.35">
      <c r="A279" s="29"/>
      <c r="B279" s="30">
        <f t="shared" si="4"/>
        <v>1</v>
      </c>
      <c r="C279" s="28"/>
      <c r="D279" s="35" t="str">
        <f>IFERROR(VLOOKUP(C279,T_CÓDIGO[#All],4,FALSE),"")</f>
        <v/>
      </c>
      <c r="E279" s="30" t="str">
        <f>IFERROR(VLOOKUP(C279,T_CÓDIGO[#All],6,FALSE),"")</f>
        <v/>
      </c>
      <c r="F279" s="28"/>
      <c r="G279" s="30"/>
      <c r="H279" s="28"/>
      <c r="I279" s="30"/>
      <c r="J279" s="30"/>
      <c r="K279" s="30" t="str">
        <f>IFERROR(VLOOKUP(C279,T_CÓDIGO[#All],3,FALSE),"")</f>
        <v/>
      </c>
      <c r="L279" s="28"/>
      <c r="M279" s="28"/>
      <c r="N279" s="30"/>
    </row>
    <row r="280" spans="1:14" s="2" customFormat="1" ht="15" thickBot="1" x14ac:dyDescent="0.35">
      <c r="A280" s="29"/>
      <c r="B280" s="30">
        <f t="shared" si="4"/>
        <v>1</v>
      </c>
      <c r="C280" s="28"/>
      <c r="D280" s="35" t="str">
        <f>IFERROR(VLOOKUP(C280,T_CÓDIGO[#All],4,FALSE),"")</f>
        <v/>
      </c>
      <c r="E280" s="30" t="str">
        <f>IFERROR(VLOOKUP(C280,T_CÓDIGO[#All],6,FALSE),"")</f>
        <v/>
      </c>
      <c r="F280" s="28"/>
      <c r="G280" s="30"/>
      <c r="H280" s="28"/>
      <c r="I280" s="30"/>
      <c r="J280" s="30"/>
      <c r="K280" s="30" t="str">
        <f>IFERROR(VLOOKUP(C280,T_CÓDIGO[#All],3,FALSE),"")</f>
        <v/>
      </c>
      <c r="L280" s="28"/>
      <c r="M280" s="28"/>
      <c r="N280" s="30"/>
    </row>
    <row r="281" spans="1:14" s="2" customFormat="1" ht="15" thickBot="1" x14ac:dyDescent="0.35">
      <c r="A281" s="29"/>
      <c r="B281" s="30">
        <f t="shared" si="4"/>
        <v>1</v>
      </c>
      <c r="C281" s="28"/>
      <c r="D281" s="35" t="str">
        <f>IFERROR(VLOOKUP(C281,T_CÓDIGO[#All],4,FALSE),"")</f>
        <v/>
      </c>
      <c r="E281" s="30" t="str">
        <f>IFERROR(VLOOKUP(C281,T_CÓDIGO[#All],6,FALSE),"")</f>
        <v/>
      </c>
      <c r="F281" s="28"/>
      <c r="G281" s="30"/>
      <c r="H281" s="28"/>
      <c r="I281" s="30"/>
      <c r="J281" s="30"/>
      <c r="K281" s="30" t="str">
        <f>IFERROR(VLOOKUP(C281,T_CÓDIGO[#All],3,FALSE),"")</f>
        <v/>
      </c>
      <c r="L281" s="28"/>
      <c r="M281" s="28"/>
      <c r="N281" s="30"/>
    </row>
    <row r="282" spans="1:14" s="2" customFormat="1" ht="15" thickBot="1" x14ac:dyDescent="0.35">
      <c r="A282" s="29"/>
      <c r="B282" s="30">
        <f t="shared" si="4"/>
        <v>1</v>
      </c>
      <c r="C282" s="28"/>
      <c r="D282" s="35" t="str">
        <f>IFERROR(VLOOKUP(C282,T_CÓDIGO[#All],4,FALSE),"")</f>
        <v/>
      </c>
      <c r="E282" s="30" t="str">
        <f>IFERROR(VLOOKUP(C282,T_CÓDIGO[#All],6,FALSE),"")</f>
        <v/>
      </c>
      <c r="F282" s="28"/>
      <c r="G282" s="30"/>
      <c r="H282" s="28"/>
      <c r="I282" s="30"/>
      <c r="J282" s="30"/>
      <c r="K282" s="30" t="str">
        <f>IFERROR(VLOOKUP(C282,T_CÓDIGO[#All],3,FALSE),"")</f>
        <v/>
      </c>
      <c r="L282" s="28"/>
      <c r="M282" s="28"/>
      <c r="N282" s="30"/>
    </row>
    <row r="283" spans="1:14" s="2" customFormat="1" ht="15" thickBot="1" x14ac:dyDescent="0.35">
      <c r="A283" s="29"/>
      <c r="B283" s="30">
        <f t="shared" si="4"/>
        <v>1</v>
      </c>
      <c r="C283" s="28"/>
      <c r="D283" s="35" t="str">
        <f>IFERROR(VLOOKUP(C283,T_CÓDIGO[#All],4,FALSE),"")</f>
        <v/>
      </c>
      <c r="E283" s="30" t="str">
        <f>IFERROR(VLOOKUP(C283,T_CÓDIGO[#All],6,FALSE),"")</f>
        <v/>
      </c>
      <c r="F283" s="28"/>
      <c r="G283" s="30"/>
      <c r="H283" s="28"/>
      <c r="I283" s="30"/>
      <c r="J283" s="30"/>
      <c r="K283" s="30" t="str">
        <f>IFERROR(VLOOKUP(C283,T_CÓDIGO[#All],3,FALSE),"")</f>
        <v/>
      </c>
      <c r="L283" s="28"/>
      <c r="M283" s="28"/>
      <c r="N283" s="30"/>
    </row>
    <row r="284" spans="1:14" s="2" customFormat="1" ht="15" thickBot="1" x14ac:dyDescent="0.35">
      <c r="A284" s="29"/>
      <c r="B284" s="30">
        <f t="shared" si="4"/>
        <v>1</v>
      </c>
      <c r="C284" s="28"/>
      <c r="D284" s="35" t="str">
        <f>IFERROR(VLOOKUP(C284,T_CÓDIGO[#All],4,FALSE),"")</f>
        <v/>
      </c>
      <c r="E284" s="30" t="str">
        <f>IFERROR(VLOOKUP(C284,T_CÓDIGO[#All],6,FALSE),"")</f>
        <v/>
      </c>
      <c r="F284" s="28"/>
      <c r="G284" s="30"/>
      <c r="H284" s="28"/>
      <c r="I284" s="30"/>
      <c r="J284" s="30"/>
      <c r="K284" s="30" t="str">
        <f>IFERROR(VLOOKUP(C284,T_CÓDIGO[#All],3,FALSE),"")</f>
        <v/>
      </c>
      <c r="L284" s="28"/>
      <c r="M284" s="28"/>
      <c r="N284" s="30"/>
    </row>
    <row r="285" spans="1:14" s="2" customFormat="1" ht="15" thickBot="1" x14ac:dyDescent="0.35">
      <c r="A285" s="29"/>
      <c r="B285" s="30">
        <f t="shared" si="4"/>
        <v>1</v>
      </c>
      <c r="C285" s="28"/>
      <c r="D285" s="35" t="str">
        <f>IFERROR(VLOOKUP(C285,T_CÓDIGO[#All],4,FALSE),"")</f>
        <v/>
      </c>
      <c r="E285" s="30" t="str">
        <f>IFERROR(VLOOKUP(C285,T_CÓDIGO[#All],6,FALSE),"")</f>
        <v/>
      </c>
      <c r="F285" s="28"/>
      <c r="G285" s="30"/>
      <c r="H285" s="28"/>
      <c r="I285" s="30"/>
      <c r="J285" s="30"/>
      <c r="K285" s="30" t="str">
        <f>IFERROR(VLOOKUP(C285,T_CÓDIGO[#All],3,FALSE),"")</f>
        <v/>
      </c>
      <c r="L285" s="28"/>
      <c r="M285" s="28"/>
      <c r="N285" s="30"/>
    </row>
    <row r="286" spans="1:14" s="2" customFormat="1" ht="15" thickBot="1" x14ac:dyDescent="0.35">
      <c r="A286" s="29"/>
      <c r="B286" s="30">
        <f t="shared" si="4"/>
        <v>1</v>
      </c>
      <c r="C286" s="28"/>
      <c r="D286" s="35" t="str">
        <f>IFERROR(VLOOKUP(C286,T_CÓDIGO[#All],4,FALSE),"")</f>
        <v/>
      </c>
      <c r="E286" s="30" t="str">
        <f>IFERROR(VLOOKUP(C286,T_CÓDIGO[#All],6,FALSE),"")</f>
        <v/>
      </c>
      <c r="F286" s="28"/>
      <c r="G286" s="30"/>
      <c r="H286" s="28"/>
      <c r="I286" s="30"/>
      <c r="J286" s="30"/>
      <c r="K286" s="30" t="str">
        <f>IFERROR(VLOOKUP(C286,T_CÓDIGO[#All],3,FALSE),"")</f>
        <v/>
      </c>
      <c r="L286" s="28"/>
      <c r="M286" s="28"/>
      <c r="N286" s="30"/>
    </row>
    <row r="287" spans="1:14" s="2" customFormat="1" ht="15" thickBot="1" x14ac:dyDescent="0.35">
      <c r="A287" s="29"/>
      <c r="B287" s="30">
        <f t="shared" si="4"/>
        <v>1</v>
      </c>
      <c r="C287" s="28"/>
      <c r="D287" s="35" t="str">
        <f>IFERROR(VLOOKUP(C287,T_CÓDIGO[#All],4,FALSE),"")</f>
        <v/>
      </c>
      <c r="E287" s="30" t="str">
        <f>IFERROR(VLOOKUP(C287,T_CÓDIGO[#All],6,FALSE),"")</f>
        <v/>
      </c>
      <c r="F287" s="28"/>
      <c r="G287" s="30"/>
      <c r="H287" s="28"/>
      <c r="I287" s="30"/>
      <c r="J287" s="30"/>
      <c r="K287" s="30" t="str">
        <f>IFERROR(VLOOKUP(C287,T_CÓDIGO[#All],3,FALSE),"")</f>
        <v/>
      </c>
      <c r="L287" s="28"/>
      <c r="M287" s="28"/>
      <c r="N287" s="30"/>
    </row>
    <row r="288" spans="1:14" s="2" customFormat="1" ht="15" thickBot="1" x14ac:dyDescent="0.35">
      <c r="A288" s="29"/>
      <c r="B288" s="30">
        <f t="shared" si="4"/>
        <v>1</v>
      </c>
      <c r="C288" s="28"/>
      <c r="D288" s="35" t="str">
        <f>IFERROR(VLOOKUP(C288,T_CÓDIGO[#All],4,FALSE),"")</f>
        <v/>
      </c>
      <c r="E288" s="30" t="str">
        <f>IFERROR(VLOOKUP(C288,T_CÓDIGO[#All],6,FALSE),"")</f>
        <v/>
      </c>
      <c r="F288" s="28"/>
      <c r="G288" s="30"/>
      <c r="H288" s="28"/>
      <c r="I288" s="30"/>
      <c r="J288" s="30"/>
      <c r="K288" s="30" t="str">
        <f>IFERROR(VLOOKUP(C288,T_CÓDIGO[#All],3,FALSE),"")</f>
        <v/>
      </c>
      <c r="L288" s="28"/>
      <c r="M288" s="28"/>
      <c r="N288" s="30"/>
    </row>
    <row r="289" spans="1:14" s="2" customFormat="1" ht="15" thickBot="1" x14ac:dyDescent="0.35">
      <c r="A289" s="29"/>
      <c r="B289" s="30">
        <f t="shared" si="4"/>
        <v>1</v>
      </c>
      <c r="C289" s="28"/>
      <c r="D289" s="35" t="str">
        <f>IFERROR(VLOOKUP(C289,T_CÓDIGO[#All],4,FALSE),"")</f>
        <v/>
      </c>
      <c r="E289" s="30" t="str">
        <f>IFERROR(VLOOKUP(C289,T_CÓDIGO[#All],6,FALSE),"")</f>
        <v/>
      </c>
      <c r="F289" s="28"/>
      <c r="G289" s="30"/>
      <c r="H289" s="28"/>
      <c r="I289" s="30"/>
      <c r="J289" s="30"/>
      <c r="K289" s="30" t="str">
        <f>IFERROR(VLOOKUP(C289,T_CÓDIGO[#All],3,FALSE),"")</f>
        <v/>
      </c>
      <c r="L289" s="28"/>
      <c r="M289" s="28"/>
      <c r="N289" s="30"/>
    </row>
    <row r="290" spans="1:14" s="2" customFormat="1" ht="15" thickBot="1" x14ac:dyDescent="0.35">
      <c r="A290" s="29"/>
      <c r="B290" s="30">
        <f t="shared" si="4"/>
        <v>1</v>
      </c>
      <c r="C290" s="28"/>
      <c r="D290" s="35" t="str">
        <f>IFERROR(VLOOKUP(C290,T_CÓDIGO[#All],4,FALSE),"")</f>
        <v/>
      </c>
      <c r="E290" s="30" t="str">
        <f>IFERROR(VLOOKUP(C290,T_CÓDIGO[#All],6,FALSE),"")</f>
        <v/>
      </c>
      <c r="F290" s="28"/>
      <c r="G290" s="30"/>
      <c r="H290" s="28"/>
      <c r="I290" s="30"/>
      <c r="J290" s="30"/>
      <c r="K290" s="30" t="str">
        <f>IFERROR(VLOOKUP(C290,T_CÓDIGO[#All],3,FALSE),"")</f>
        <v/>
      </c>
      <c r="L290" s="28"/>
      <c r="M290" s="28"/>
      <c r="N290" s="30"/>
    </row>
    <row r="291" spans="1:14" s="2" customFormat="1" ht="15" thickBot="1" x14ac:dyDescent="0.35">
      <c r="A291" s="29"/>
      <c r="B291" s="30">
        <f t="shared" si="4"/>
        <v>1</v>
      </c>
      <c r="C291" s="28"/>
      <c r="D291" s="35" t="str">
        <f>IFERROR(VLOOKUP(C291,T_CÓDIGO[#All],4,FALSE),"")</f>
        <v/>
      </c>
      <c r="E291" s="30" t="str">
        <f>IFERROR(VLOOKUP(C291,T_CÓDIGO[#All],6,FALSE),"")</f>
        <v/>
      </c>
      <c r="F291" s="28"/>
      <c r="G291" s="30"/>
      <c r="H291" s="28"/>
      <c r="I291" s="30"/>
      <c r="J291" s="30"/>
      <c r="K291" s="30" t="str">
        <f>IFERROR(VLOOKUP(C291,T_CÓDIGO[#All],3,FALSE),"")</f>
        <v/>
      </c>
      <c r="L291" s="28"/>
      <c r="M291" s="28"/>
      <c r="N291" s="30"/>
    </row>
    <row r="292" spans="1:14" s="2" customFormat="1" ht="15" thickBot="1" x14ac:dyDescent="0.35">
      <c r="A292" s="29"/>
      <c r="B292" s="30">
        <f t="shared" si="4"/>
        <v>1</v>
      </c>
      <c r="C292" s="28"/>
      <c r="D292" s="35" t="str">
        <f>IFERROR(VLOOKUP(C292,T_CÓDIGO[#All],4,FALSE),"")</f>
        <v/>
      </c>
      <c r="E292" s="30" t="str">
        <f>IFERROR(VLOOKUP(C292,T_CÓDIGO[#All],6,FALSE),"")</f>
        <v/>
      </c>
      <c r="F292" s="28"/>
      <c r="G292" s="30"/>
      <c r="H292" s="28"/>
      <c r="I292" s="30"/>
      <c r="J292" s="30"/>
      <c r="K292" s="30" t="str">
        <f>IFERROR(VLOOKUP(C292,T_CÓDIGO[#All],3,FALSE),"")</f>
        <v/>
      </c>
      <c r="L292" s="28"/>
      <c r="M292" s="28"/>
      <c r="N292" s="30"/>
    </row>
    <row r="293" spans="1:14" s="2" customFormat="1" ht="15" thickBot="1" x14ac:dyDescent="0.35">
      <c r="A293" s="29"/>
      <c r="B293" s="30">
        <f t="shared" si="4"/>
        <v>1</v>
      </c>
      <c r="C293" s="28"/>
      <c r="D293" s="35" t="str">
        <f>IFERROR(VLOOKUP(C293,T_CÓDIGO[#All],4,FALSE),"")</f>
        <v/>
      </c>
      <c r="E293" s="30" t="str">
        <f>IFERROR(VLOOKUP(C293,T_CÓDIGO[#All],6,FALSE),"")</f>
        <v/>
      </c>
      <c r="F293" s="28"/>
      <c r="G293" s="30"/>
      <c r="H293" s="28"/>
      <c r="I293" s="30"/>
      <c r="J293" s="30"/>
      <c r="K293" s="30" t="str">
        <f>IFERROR(VLOOKUP(C293,T_CÓDIGO[#All],3,FALSE),"")</f>
        <v/>
      </c>
      <c r="L293" s="28"/>
      <c r="M293" s="28"/>
      <c r="N293" s="30"/>
    </row>
    <row r="294" spans="1:14" s="2" customFormat="1" ht="15" thickBot="1" x14ac:dyDescent="0.35">
      <c r="A294" s="29"/>
      <c r="B294" s="30">
        <f t="shared" si="4"/>
        <v>1</v>
      </c>
      <c r="C294" s="28"/>
      <c r="D294" s="35" t="str">
        <f>IFERROR(VLOOKUP(C294,T_CÓDIGO[#All],4,FALSE),"")</f>
        <v/>
      </c>
      <c r="E294" s="30" t="str">
        <f>IFERROR(VLOOKUP(C294,T_CÓDIGO[#All],6,FALSE),"")</f>
        <v/>
      </c>
      <c r="F294" s="28"/>
      <c r="G294" s="30"/>
      <c r="H294" s="28"/>
      <c r="I294" s="30"/>
      <c r="J294" s="30"/>
      <c r="K294" s="30" t="str">
        <f>IFERROR(VLOOKUP(C294,T_CÓDIGO[#All],3,FALSE),"")</f>
        <v/>
      </c>
      <c r="L294" s="28"/>
      <c r="M294" s="28"/>
      <c r="N294" s="30"/>
    </row>
    <row r="295" spans="1:14" s="2" customFormat="1" ht="15" thickBot="1" x14ac:dyDescent="0.35">
      <c r="A295" s="29"/>
      <c r="B295" s="30">
        <f t="shared" si="4"/>
        <v>1</v>
      </c>
      <c r="C295" s="28"/>
      <c r="D295" s="35" t="str">
        <f>IFERROR(VLOOKUP(C295,T_CÓDIGO[#All],4,FALSE),"")</f>
        <v/>
      </c>
      <c r="E295" s="30" t="str">
        <f>IFERROR(VLOOKUP(C295,T_CÓDIGO[#All],6,FALSE),"")</f>
        <v/>
      </c>
      <c r="F295" s="28"/>
      <c r="G295" s="30"/>
      <c r="H295" s="28"/>
      <c r="I295" s="30"/>
      <c r="J295" s="30"/>
      <c r="K295" s="30" t="str">
        <f>IFERROR(VLOOKUP(C295,T_CÓDIGO[#All],3,FALSE),"")</f>
        <v/>
      </c>
      <c r="L295" s="28"/>
      <c r="M295" s="28"/>
      <c r="N295" s="30"/>
    </row>
    <row r="296" spans="1:14" s="2" customFormat="1" ht="15" thickBot="1" x14ac:dyDescent="0.35">
      <c r="A296" s="29"/>
      <c r="B296" s="30">
        <f t="shared" si="4"/>
        <v>1</v>
      </c>
      <c r="C296" s="28"/>
      <c r="D296" s="35" t="str">
        <f>IFERROR(VLOOKUP(C296,T_CÓDIGO[#All],4,FALSE),"")</f>
        <v/>
      </c>
      <c r="E296" s="30" t="str">
        <f>IFERROR(VLOOKUP(C296,T_CÓDIGO[#All],6,FALSE),"")</f>
        <v/>
      </c>
      <c r="F296" s="28"/>
      <c r="G296" s="30"/>
      <c r="H296" s="28"/>
      <c r="I296" s="30"/>
      <c r="J296" s="30"/>
      <c r="K296" s="30" t="str">
        <f>IFERROR(VLOOKUP(C296,T_CÓDIGO[#All],3,FALSE),"")</f>
        <v/>
      </c>
      <c r="L296" s="28"/>
      <c r="M296" s="28"/>
      <c r="N296" s="30"/>
    </row>
    <row r="297" spans="1:14" s="2" customFormat="1" ht="15" thickBot="1" x14ac:dyDescent="0.35">
      <c r="A297" s="29"/>
      <c r="B297" s="30">
        <f t="shared" si="4"/>
        <v>1</v>
      </c>
      <c r="C297" s="28"/>
      <c r="D297" s="35" t="str">
        <f>IFERROR(VLOOKUP(C297,T_CÓDIGO[#All],4,FALSE),"")</f>
        <v/>
      </c>
      <c r="E297" s="30" t="str">
        <f>IFERROR(VLOOKUP(C297,T_CÓDIGO[#All],6,FALSE),"")</f>
        <v/>
      </c>
      <c r="F297" s="28"/>
      <c r="G297" s="30"/>
      <c r="H297" s="28"/>
      <c r="I297" s="30"/>
      <c r="J297" s="30"/>
      <c r="K297" s="30" t="str">
        <f>IFERROR(VLOOKUP(C297,T_CÓDIGO[#All],3,FALSE),"")</f>
        <v/>
      </c>
      <c r="L297" s="28"/>
      <c r="M297" s="28"/>
      <c r="N297" s="30"/>
    </row>
    <row r="298" spans="1:14" s="2" customFormat="1" ht="15" thickBot="1" x14ac:dyDescent="0.35">
      <c r="A298" s="29"/>
      <c r="B298" s="30">
        <f t="shared" si="4"/>
        <v>1</v>
      </c>
      <c r="C298" s="28"/>
      <c r="D298" s="35" t="str">
        <f>IFERROR(VLOOKUP(C298,T_CÓDIGO[#All],4,FALSE),"")</f>
        <v/>
      </c>
      <c r="E298" s="30" t="str">
        <f>IFERROR(VLOOKUP(C298,T_CÓDIGO[#All],6,FALSE),"")</f>
        <v/>
      </c>
      <c r="F298" s="28"/>
      <c r="G298" s="30"/>
      <c r="H298" s="28"/>
      <c r="I298" s="30"/>
      <c r="J298" s="30"/>
      <c r="K298" s="30" t="str">
        <f>IFERROR(VLOOKUP(C298,T_CÓDIGO[#All],3,FALSE),"")</f>
        <v/>
      </c>
      <c r="L298" s="28"/>
      <c r="M298" s="28"/>
      <c r="N298" s="30"/>
    </row>
    <row r="299" spans="1:14" s="2" customFormat="1" ht="15" thickBot="1" x14ac:dyDescent="0.35">
      <c r="A299" s="29"/>
      <c r="B299" s="30">
        <f t="shared" si="4"/>
        <v>1</v>
      </c>
      <c r="C299" s="28"/>
      <c r="D299" s="35" t="str">
        <f>IFERROR(VLOOKUP(C299,T_CÓDIGO[#All],4,FALSE),"")</f>
        <v/>
      </c>
      <c r="E299" s="30" t="str">
        <f>IFERROR(VLOOKUP(C299,T_CÓDIGO[#All],6,FALSE),"")</f>
        <v/>
      </c>
      <c r="F299" s="28"/>
      <c r="G299" s="30"/>
      <c r="H299" s="28"/>
      <c r="I299" s="30"/>
      <c r="J299" s="30"/>
      <c r="K299" s="30" t="str">
        <f>IFERROR(VLOOKUP(C299,T_CÓDIGO[#All],3,FALSE),"")</f>
        <v/>
      </c>
      <c r="L299" s="28"/>
      <c r="M299" s="28"/>
      <c r="N299" s="30"/>
    </row>
    <row r="300" spans="1:14" s="2" customFormat="1" ht="15" thickBot="1" x14ac:dyDescent="0.35">
      <c r="A300" s="29"/>
      <c r="B300" s="30">
        <f t="shared" si="4"/>
        <v>1</v>
      </c>
      <c r="C300" s="28"/>
      <c r="D300" s="35" t="str">
        <f>IFERROR(VLOOKUP(C300,T_CÓDIGO[#All],4,FALSE),"")</f>
        <v/>
      </c>
      <c r="E300" s="30" t="str">
        <f>IFERROR(VLOOKUP(C300,T_CÓDIGO[#All],6,FALSE),"")</f>
        <v/>
      </c>
      <c r="F300" s="28"/>
      <c r="G300" s="30"/>
      <c r="H300" s="28"/>
      <c r="I300" s="30"/>
      <c r="J300" s="30"/>
      <c r="K300" s="30" t="str">
        <f>IFERROR(VLOOKUP(C300,T_CÓDIGO[#All],3,FALSE),"")</f>
        <v/>
      </c>
      <c r="L300" s="28"/>
      <c r="M300" s="28"/>
      <c r="N300" s="30"/>
    </row>
    <row r="301" spans="1:14" s="2" customFormat="1" ht="15" thickBot="1" x14ac:dyDescent="0.35">
      <c r="A301" s="29"/>
      <c r="B301" s="30">
        <f t="shared" si="4"/>
        <v>1</v>
      </c>
      <c r="C301" s="28"/>
      <c r="D301" s="35" t="str">
        <f>IFERROR(VLOOKUP(C301,T_CÓDIGO[#All],4,FALSE),"")</f>
        <v/>
      </c>
      <c r="E301" s="30" t="str">
        <f>IFERROR(VLOOKUP(C301,T_CÓDIGO[#All],6,FALSE),"")</f>
        <v/>
      </c>
      <c r="F301" s="28"/>
      <c r="G301" s="30"/>
      <c r="H301" s="28"/>
      <c r="I301" s="30"/>
      <c r="J301" s="30"/>
      <c r="K301" s="30" t="str">
        <f>IFERROR(VLOOKUP(C301,T_CÓDIGO[#All],3,FALSE),"")</f>
        <v/>
      </c>
      <c r="L301" s="28"/>
      <c r="M301" s="28"/>
      <c r="N301" s="30"/>
    </row>
    <row r="302" spans="1:14" s="2" customFormat="1" ht="15" thickBot="1" x14ac:dyDescent="0.35">
      <c r="A302" s="29"/>
      <c r="B302" s="30">
        <f t="shared" si="4"/>
        <v>1</v>
      </c>
      <c r="C302" s="28"/>
      <c r="D302" s="35" t="str">
        <f>IFERROR(VLOOKUP(C302,T_CÓDIGO[#All],4,FALSE),"")</f>
        <v/>
      </c>
      <c r="E302" s="30" t="str">
        <f>IFERROR(VLOOKUP(C302,T_CÓDIGO[#All],6,FALSE),"")</f>
        <v/>
      </c>
      <c r="F302" s="28"/>
      <c r="G302" s="30"/>
      <c r="H302" s="28"/>
      <c r="I302" s="30"/>
      <c r="J302" s="30"/>
      <c r="K302" s="30" t="str">
        <f>IFERROR(VLOOKUP(C302,T_CÓDIGO[#All],3,FALSE),"")</f>
        <v/>
      </c>
      <c r="L302" s="28"/>
      <c r="M302" s="28"/>
      <c r="N302" s="30"/>
    </row>
    <row r="303" spans="1:14" s="2" customFormat="1" ht="15" thickBot="1" x14ac:dyDescent="0.35">
      <c r="A303" s="29"/>
      <c r="B303" s="30">
        <f t="shared" si="4"/>
        <v>1</v>
      </c>
      <c r="C303" s="28"/>
      <c r="D303" s="35" t="str">
        <f>IFERROR(VLOOKUP(C303,T_CÓDIGO[#All],4,FALSE),"")</f>
        <v/>
      </c>
      <c r="E303" s="30" t="str">
        <f>IFERROR(VLOOKUP(C303,T_CÓDIGO[#All],6,FALSE),"")</f>
        <v/>
      </c>
      <c r="F303" s="28"/>
      <c r="G303" s="30"/>
      <c r="H303" s="28"/>
      <c r="I303" s="30"/>
      <c r="J303" s="30"/>
      <c r="K303" s="30" t="str">
        <f>IFERROR(VLOOKUP(C303,T_CÓDIGO[#All],3,FALSE),"")</f>
        <v/>
      </c>
      <c r="L303" s="28"/>
      <c r="M303" s="28"/>
      <c r="N303" s="30"/>
    </row>
    <row r="304" spans="1:14" s="2" customFormat="1" ht="15" thickBot="1" x14ac:dyDescent="0.35">
      <c r="A304" s="29"/>
      <c r="B304" s="30">
        <f t="shared" si="4"/>
        <v>1</v>
      </c>
      <c r="C304" s="28"/>
      <c r="D304" s="35" t="str">
        <f>IFERROR(VLOOKUP(C304,T_CÓDIGO[#All],4,FALSE),"")</f>
        <v/>
      </c>
      <c r="E304" s="30" t="str">
        <f>IFERROR(VLOOKUP(C304,T_CÓDIGO[#All],6,FALSE),"")</f>
        <v/>
      </c>
      <c r="F304" s="28"/>
      <c r="G304" s="30"/>
      <c r="H304" s="28"/>
      <c r="I304" s="30"/>
      <c r="J304" s="30"/>
      <c r="K304" s="30" t="str">
        <f>IFERROR(VLOOKUP(C304,T_CÓDIGO[#All],3,FALSE),"")</f>
        <v/>
      </c>
      <c r="L304" s="28"/>
      <c r="M304" s="28"/>
      <c r="N304" s="30"/>
    </row>
    <row r="305" spans="1:14" s="2" customFormat="1" ht="15" thickBot="1" x14ac:dyDescent="0.35">
      <c r="A305" s="29"/>
      <c r="B305" s="30">
        <f t="shared" si="4"/>
        <v>1</v>
      </c>
      <c r="C305" s="28"/>
      <c r="D305" s="35" t="str">
        <f>IFERROR(VLOOKUP(C305,T_CÓDIGO[#All],4,FALSE),"")</f>
        <v/>
      </c>
      <c r="E305" s="30" t="str">
        <f>IFERROR(VLOOKUP(C305,T_CÓDIGO[#All],6,FALSE),"")</f>
        <v/>
      </c>
      <c r="F305" s="28"/>
      <c r="G305" s="30"/>
      <c r="H305" s="28"/>
      <c r="I305" s="30"/>
      <c r="J305" s="30"/>
      <c r="K305" s="30" t="str">
        <f>IFERROR(VLOOKUP(C305,T_CÓDIGO[#All],3,FALSE),"")</f>
        <v/>
      </c>
      <c r="L305" s="28"/>
      <c r="M305" s="28"/>
      <c r="N305" s="30"/>
    </row>
    <row r="306" spans="1:14" s="2" customFormat="1" ht="15" thickBot="1" x14ac:dyDescent="0.35">
      <c r="A306" s="29"/>
      <c r="B306" s="30">
        <f t="shared" si="4"/>
        <v>1</v>
      </c>
      <c r="C306" s="28"/>
      <c r="D306" s="35" t="str">
        <f>IFERROR(VLOOKUP(C306,T_CÓDIGO[#All],4,FALSE),"")</f>
        <v/>
      </c>
      <c r="E306" s="30" t="str">
        <f>IFERROR(VLOOKUP(C306,T_CÓDIGO[#All],6,FALSE),"")</f>
        <v/>
      </c>
      <c r="F306" s="28"/>
      <c r="G306" s="30"/>
      <c r="H306" s="28"/>
      <c r="I306" s="30"/>
      <c r="J306" s="30"/>
      <c r="K306" s="30" t="str">
        <f>IFERROR(VLOOKUP(C306,T_CÓDIGO[#All],3,FALSE),"")</f>
        <v/>
      </c>
      <c r="L306" s="28"/>
      <c r="M306" s="28"/>
      <c r="N306" s="30"/>
    </row>
    <row r="307" spans="1:14" s="2" customFormat="1" ht="15" thickBot="1" x14ac:dyDescent="0.35">
      <c r="A307" s="29"/>
      <c r="B307" s="30">
        <f t="shared" si="4"/>
        <v>1</v>
      </c>
      <c r="C307" s="28"/>
      <c r="D307" s="35" t="str">
        <f>IFERROR(VLOOKUP(C307,T_CÓDIGO[#All],4,FALSE),"")</f>
        <v/>
      </c>
      <c r="E307" s="30" t="str">
        <f>IFERROR(VLOOKUP(C307,T_CÓDIGO[#All],6,FALSE),"")</f>
        <v/>
      </c>
      <c r="F307" s="28"/>
      <c r="G307" s="30"/>
      <c r="H307" s="28"/>
      <c r="I307" s="30"/>
      <c r="J307" s="30"/>
      <c r="K307" s="30" t="str">
        <f>IFERROR(VLOOKUP(C307,T_CÓDIGO[#All],3,FALSE),"")</f>
        <v/>
      </c>
      <c r="L307" s="28"/>
      <c r="M307" s="28"/>
      <c r="N307" s="30"/>
    </row>
    <row r="308" spans="1:14" s="2" customFormat="1" ht="15" thickBot="1" x14ac:dyDescent="0.35">
      <c r="A308" s="29"/>
      <c r="B308" s="30">
        <f t="shared" si="4"/>
        <v>1</v>
      </c>
      <c r="C308" s="28"/>
      <c r="D308" s="35" t="str">
        <f>IFERROR(VLOOKUP(C308,T_CÓDIGO[#All],4,FALSE),"")</f>
        <v/>
      </c>
      <c r="E308" s="30" t="str">
        <f>IFERROR(VLOOKUP(C308,T_CÓDIGO[#All],6,FALSE),"")</f>
        <v/>
      </c>
      <c r="F308" s="28"/>
      <c r="G308" s="30"/>
      <c r="H308" s="28"/>
      <c r="I308" s="30"/>
      <c r="J308" s="30"/>
      <c r="K308" s="30" t="str">
        <f>IFERROR(VLOOKUP(C308,T_CÓDIGO[#All],3,FALSE),"")</f>
        <v/>
      </c>
      <c r="L308" s="28"/>
      <c r="M308" s="28"/>
      <c r="N308" s="30"/>
    </row>
    <row r="309" spans="1:14" s="2" customFormat="1" ht="15" thickBot="1" x14ac:dyDescent="0.35">
      <c r="A309" s="29"/>
      <c r="B309" s="30">
        <f t="shared" si="4"/>
        <v>1</v>
      </c>
      <c r="C309" s="28"/>
      <c r="D309" s="35" t="str">
        <f>IFERROR(VLOOKUP(C309,T_CÓDIGO[#All],4,FALSE),"")</f>
        <v/>
      </c>
      <c r="E309" s="30" t="str">
        <f>IFERROR(VLOOKUP(C309,T_CÓDIGO[#All],6,FALSE),"")</f>
        <v/>
      </c>
      <c r="F309" s="28"/>
      <c r="G309" s="30"/>
      <c r="H309" s="28"/>
      <c r="I309" s="30"/>
      <c r="J309" s="30"/>
      <c r="K309" s="30" t="str">
        <f>IFERROR(VLOOKUP(C309,T_CÓDIGO[#All],3,FALSE),"")</f>
        <v/>
      </c>
      <c r="L309" s="28"/>
      <c r="M309" s="28"/>
      <c r="N309" s="30"/>
    </row>
    <row r="310" spans="1:14" s="2" customFormat="1" ht="15" thickBot="1" x14ac:dyDescent="0.35">
      <c r="A310" s="29"/>
      <c r="B310" s="30">
        <f t="shared" si="4"/>
        <v>1</v>
      </c>
      <c r="C310" s="28"/>
      <c r="D310" s="35" t="str">
        <f>IFERROR(VLOOKUP(C310,T_CÓDIGO[#All],4,FALSE),"")</f>
        <v/>
      </c>
      <c r="E310" s="30" t="str">
        <f>IFERROR(VLOOKUP(C310,T_CÓDIGO[#All],6,FALSE),"")</f>
        <v/>
      </c>
      <c r="F310" s="28"/>
      <c r="G310" s="30"/>
      <c r="H310" s="28"/>
      <c r="I310" s="30"/>
      <c r="J310" s="30"/>
      <c r="K310" s="30" t="str">
        <f>IFERROR(VLOOKUP(C310,T_CÓDIGO[#All],3,FALSE),"")</f>
        <v/>
      </c>
      <c r="L310" s="28"/>
      <c r="M310" s="28"/>
      <c r="N310" s="30"/>
    </row>
    <row r="311" spans="1:14" s="2" customFormat="1" ht="15" thickBot="1" x14ac:dyDescent="0.35">
      <c r="A311" s="29"/>
      <c r="B311" s="30">
        <f t="shared" si="4"/>
        <v>1</v>
      </c>
      <c r="C311" s="28"/>
      <c r="D311" s="35" t="str">
        <f>IFERROR(VLOOKUP(C311,T_CÓDIGO[#All],4,FALSE),"")</f>
        <v/>
      </c>
      <c r="E311" s="30" t="str">
        <f>IFERROR(VLOOKUP(C311,T_CÓDIGO[#All],6,FALSE),"")</f>
        <v/>
      </c>
      <c r="F311" s="28"/>
      <c r="G311" s="30"/>
      <c r="H311" s="28"/>
      <c r="I311" s="30"/>
      <c r="J311" s="30"/>
      <c r="K311" s="30" t="str">
        <f>IFERROR(VLOOKUP(C311,T_CÓDIGO[#All],3,FALSE),"")</f>
        <v/>
      </c>
      <c r="L311" s="28"/>
      <c r="M311" s="28"/>
      <c r="N311" s="30"/>
    </row>
    <row r="312" spans="1:14" s="2" customFormat="1" ht="15" thickBot="1" x14ac:dyDescent="0.35">
      <c r="A312" s="29"/>
      <c r="B312" s="30">
        <f t="shared" si="4"/>
        <v>1</v>
      </c>
      <c r="C312" s="28"/>
      <c r="D312" s="35" t="str">
        <f>IFERROR(VLOOKUP(C312,T_CÓDIGO[#All],4,FALSE),"")</f>
        <v/>
      </c>
      <c r="E312" s="30" t="str">
        <f>IFERROR(VLOOKUP(C312,T_CÓDIGO[#All],6,FALSE),"")</f>
        <v/>
      </c>
      <c r="F312" s="28"/>
      <c r="G312" s="30"/>
      <c r="H312" s="28"/>
      <c r="I312" s="30"/>
      <c r="J312" s="30"/>
      <c r="K312" s="30" t="str">
        <f>IFERROR(VLOOKUP(C312,T_CÓDIGO[#All],3,FALSE),"")</f>
        <v/>
      </c>
      <c r="L312" s="28"/>
      <c r="M312" s="28"/>
      <c r="N312" s="30"/>
    </row>
    <row r="313" spans="1:14" s="2" customFormat="1" ht="15" thickBot="1" x14ac:dyDescent="0.35">
      <c r="A313" s="29"/>
      <c r="B313" s="30">
        <f t="shared" si="4"/>
        <v>1</v>
      </c>
      <c r="C313" s="28"/>
      <c r="D313" s="35" t="str">
        <f>IFERROR(VLOOKUP(C313,T_CÓDIGO[#All],4,FALSE),"")</f>
        <v/>
      </c>
      <c r="E313" s="30" t="str">
        <f>IFERROR(VLOOKUP(C313,T_CÓDIGO[#All],6,FALSE),"")</f>
        <v/>
      </c>
      <c r="F313" s="28"/>
      <c r="G313" s="30"/>
      <c r="H313" s="28"/>
      <c r="I313" s="30"/>
      <c r="J313" s="30"/>
      <c r="K313" s="30" t="str">
        <f>IFERROR(VLOOKUP(C313,T_CÓDIGO[#All],3,FALSE),"")</f>
        <v/>
      </c>
      <c r="L313" s="28"/>
      <c r="M313" s="28"/>
      <c r="N313" s="30"/>
    </row>
    <row r="314" spans="1:14" s="2" customFormat="1" ht="15" thickBot="1" x14ac:dyDescent="0.35">
      <c r="A314" s="29"/>
      <c r="B314" s="30">
        <f t="shared" si="4"/>
        <v>1</v>
      </c>
      <c r="C314" s="28"/>
      <c r="D314" s="35" t="str">
        <f>IFERROR(VLOOKUP(C314,T_CÓDIGO[#All],4,FALSE),"")</f>
        <v/>
      </c>
      <c r="E314" s="30" t="str">
        <f>IFERROR(VLOOKUP(C314,T_CÓDIGO[#All],6,FALSE),"")</f>
        <v/>
      </c>
      <c r="F314" s="28"/>
      <c r="G314" s="30"/>
      <c r="H314" s="28"/>
      <c r="I314" s="30"/>
      <c r="J314" s="30"/>
      <c r="K314" s="30" t="str">
        <f>IFERROR(VLOOKUP(C314,T_CÓDIGO[#All],3,FALSE),"")</f>
        <v/>
      </c>
      <c r="L314" s="28"/>
      <c r="M314" s="28"/>
      <c r="N314" s="30"/>
    </row>
    <row r="315" spans="1:14" s="2" customFormat="1" ht="15" thickBot="1" x14ac:dyDescent="0.35">
      <c r="A315" s="29"/>
      <c r="B315" s="30">
        <f t="shared" si="4"/>
        <v>1</v>
      </c>
      <c r="C315" s="28"/>
      <c r="D315" s="35" t="str">
        <f>IFERROR(VLOOKUP(C315,T_CÓDIGO[#All],4,FALSE),"")</f>
        <v/>
      </c>
      <c r="E315" s="30" t="str">
        <f>IFERROR(VLOOKUP(C315,T_CÓDIGO[#All],6,FALSE),"")</f>
        <v/>
      </c>
      <c r="F315" s="28"/>
      <c r="G315" s="30"/>
      <c r="H315" s="28"/>
      <c r="I315" s="30"/>
      <c r="J315" s="30"/>
      <c r="K315" s="30" t="str">
        <f>IFERROR(VLOOKUP(C315,T_CÓDIGO[#All],3,FALSE),"")</f>
        <v/>
      </c>
      <c r="L315" s="28"/>
      <c r="M315" s="28"/>
      <c r="N315" s="30"/>
    </row>
    <row r="316" spans="1:14" s="2" customFormat="1" ht="15" thickBot="1" x14ac:dyDescent="0.35">
      <c r="A316" s="29"/>
      <c r="B316" s="30">
        <f t="shared" si="4"/>
        <v>1</v>
      </c>
      <c r="C316" s="28"/>
      <c r="D316" s="35" t="str">
        <f>IFERROR(VLOOKUP(C316,T_CÓDIGO[#All],4,FALSE),"")</f>
        <v/>
      </c>
      <c r="E316" s="30" t="str">
        <f>IFERROR(VLOOKUP(C316,T_CÓDIGO[#All],6,FALSE),"")</f>
        <v/>
      </c>
      <c r="F316" s="28"/>
      <c r="G316" s="30"/>
      <c r="H316" s="28"/>
      <c r="I316" s="30"/>
      <c r="J316" s="30"/>
      <c r="K316" s="30" t="str">
        <f>IFERROR(VLOOKUP(C316,T_CÓDIGO[#All],3,FALSE),"")</f>
        <v/>
      </c>
      <c r="L316" s="28"/>
      <c r="M316" s="28"/>
      <c r="N316" s="30"/>
    </row>
    <row r="317" spans="1:14" s="2" customFormat="1" ht="15" thickBot="1" x14ac:dyDescent="0.35">
      <c r="A317" s="29"/>
      <c r="B317" s="30">
        <f t="shared" si="4"/>
        <v>1</v>
      </c>
      <c r="C317" s="28"/>
      <c r="D317" s="35" t="str">
        <f>IFERROR(VLOOKUP(C317,T_CÓDIGO[#All],4,FALSE),"")</f>
        <v/>
      </c>
      <c r="E317" s="30" t="str">
        <f>IFERROR(VLOOKUP(C317,T_CÓDIGO[#All],6,FALSE),"")</f>
        <v/>
      </c>
      <c r="F317" s="28"/>
      <c r="G317" s="30"/>
      <c r="H317" s="28"/>
      <c r="I317" s="30"/>
      <c r="J317" s="30"/>
      <c r="K317" s="30" t="str">
        <f>IFERROR(VLOOKUP(C317,T_CÓDIGO[#All],3,FALSE),"")</f>
        <v/>
      </c>
      <c r="L317" s="28"/>
      <c r="M317" s="28"/>
      <c r="N317" s="30"/>
    </row>
    <row r="318" spans="1:14" s="2" customFormat="1" ht="15" thickBot="1" x14ac:dyDescent="0.35">
      <c r="A318" s="29"/>
      <c r="B318" s="30">
        <f t="shared" si="4"/>
        <v>1</v>
      </c>
      <c r="C318" s="28"/>
      <c r="D318" s="35" t="str">
        <f>IFERROR(VLOOKUP(C318,T_CÓDIGO[#All],4,FALSE),"")</f>
        <v/>
      </c>
      <c r="E318" s="30" t="str">
        <f>IFERROR(VLOOKUP(C318,T_CÓDIGO[#All],6,FALSE),"")</f>
        <v/>
      </c>
      <c r="F318" s="28"/>
      <c r="G318" s="30"/>
      <c r="H318" s="28"/>
      <c r="I318" s="30"/>
      <c r="J318" s="30"/>
      <c r="K318" s="30" t="str">
        <f>IFERROR(VLOOKUP(C318,T_CÓDIGO[#All],3,FALSE),"")</f>
        <v/>
      </c>
      <c r="L318" s="28"/>
      <c r="M318" s="28"/>
      <c r="N318" s="30"/>
    </row>
    <row r="319" spans="1:14" s="2" customFormat="1" ht="15" thickBot="1" x14ac:dyDescent="0.35">
      <c r="A319" s="29"/>
      <c r="B319" s="30">
        <f t="shared" si="4"/>
        <v>1</v>
      </c>
      <c r="C319" s="28"/>
      <c r="D319" s="35" t="str">
        <f>IFERROR(VLOOKUP(C319,T_CÓDIGO[#All],4,FALSE),"")</f>
        <v/>
      </c>
      <c r="E319" s="30" t="str">
        <f>IFERROR(VLOOKUP(C319,T_CÓDIGO[#All],6,FALSE),"")</f>
        <v/>
      </c>
      <c r="F319" s="28"/>
      <c r="G319" s="30"/>
      <c r="H319" s="28"/>
      <c r="I319" s="30"/>
      <c r="J319" s="30"/>
      <c r="K319" s="30" t="str">
        <f>IFERROR(VLOOKUP(C319,T_CÓDIGO[#All],3,FALSE),"")</f>
        <v/>
      </c>
      <c r="L319" s="28"/>
      <c r="M319" s="28"/>
      <c r="N319" s="30"/>
    </row>
    <row r="320" spans="1:14" s="2" customFormat="1" ht="15" thickBot="1" x14ac:dyDescent="0.35">
      <c r="A320" s="29"/>
      <c r="B320" s="30">
        <f t="shared" si="4"/>
        <v>1</v>
      </c>
      <c r="C320" s="28"/>
      <c r="D320" s="35" t="str">
        <f>IFERROR(VLOOKUP(C320,T_CÓDIGO[#All],4,FALSE),"")</f>
        <v/>
      </c>
      <c r="E320" s="30" t="str">
        <f>IFERROR(VLOOKUP(C320,T_CÓDIGO[#All],6,FALSE),"")</f>
        <v/>
      </c>
      <c r="F320" s="28"/>
      <c r="G320" s="30"/>
      <c r="H320" s="28"/>
      <c r="I320" s="30"/>
      <c r="J320" s="30"/>
      <c r="K320" s="30" t="str">
        <f>IFERROR(VLOOKUP(C320,T_CÓDIGO[#All],3,FALSE),"")</f>
        <v/>
      </c>
      <c r="L320" s="28"/>
      <c r="M320" s="28"/>
      <c r="N320" s="30"/>
    </row>
    <row r="321" spans="1:14" s="2" customFormat="1" ht="15" thickBot="1" x14ac:dyDescent="0.35">
      <c r="A321" s="29"/>
      <c r="B321" s="30">
        <f t="shared" si="4"/>
        <v>1</v>
      </c>
      <c r="C321" s="28"/>
      <c r="D321" s="35" t="str">
        <f>IFERROR(VLOOKUP(C321,T_CÓDIGO[#All],4,FALSE),"")</f>
        <v/>
      </c>
      <c r="E321" s="30" t="str">
        <f>IFERROR(VLOOKUP(C321,T_CÓDIGO[#All],6,FALSE),"")</f>
        <v/>
      </c>
      <c r="F321" s="28"/>
      <c r="G321" s="30"/>
      <c r="H321" s="28"/>
      <c r="I321" s="30"/>
      <c r="J321" s="30"/>
      <c r="K321" s="30" t="str">
        <f>IFERROR(VLOOKUP(C321,T_CÓDIGO[#All],3,FALSE),"")</f>
        <v/>
      </c>
      <c r="L321" s="28"/>
      <c r="M321" s="28"/>
      <c r="N321" s="30"/>
    </row>
    <row r="322" spans="1:14" s="2" customFormat="1" ht="15" thickBot="1" x14ac:dyDescent="0.35">
      <c r="A322" s="29"/>
      <c r="B322" s="30">
        <f t="shared" si="4"/>
        <v>1</v>
      </c>
      <c r="C322" s="28"/>
      <c r="D322" s="35" t="str">
        <f>IFERROR(VLOOKUP(C322,T_CÓDIGO[#All],4,FALSE),"")</f>
        <v/>
      </c>
      <c r="E322" s="30" t="str">
        <f>IFERROR(VLOOKUP(C322,T_CÓDIGO[#All],6,FALSE),"")</f>
        <v/>
      </c>
      <c r="F322" s="28"/>
      <c r="G322" s="30"/>
      <c r="H322" s="28"/>
      <c r="I322" s="30"/>
      <c r="J322" s="30"/>
      <c r="K322" s="30" t="str">
        <f>IFERROR(VLOOKUP(C322,T_CÓDIGO[#All],3,FALSE),"")</f>
        <v/>
      </c>
      <c r="L322" s="28"/>
      <c r="M322" s="28"/>
      <c r="N322" s="30"/>
    </row>
    <row r="323" spans="1:14" s="2" customFormat="1" ht="15" thickBot="1" x14ac:dyDescent="0.35">
      <c r="A323" s="29"/>
      <c r="B323" s="30">
        <f t="shared" si="4"/>
        <v>1</v>
      </c>
      <c r="C323" s="28"/>
      <c r="D323" s="35" t="str">
        <f>IFERROR(VLOOKUP(C323,T_CÓDIGO[#All],4,FALSE),"")</f>
        <v/>
      </c>
      <c r="E323" s="30" t="str">
        <f>IFERROR(VLOOKUP(C323,T_CÓDIGO[#All],6,FALSE),"")</f>
        <v/>
      </c>
      <c r="F323" s="28"/>
      <c r="G323" s="30"/>
      <c r="H323" s="28"/>
      <c r="I323" s="30"/>
      <c r="J323" s="30"/>
      <c r="K323" s="30" t="str">
        <f>IFERROR(VLOOKUP(C323,T_CÓDIGO[#All],3,FALSE),"")</f>
        <v/>
      </c>
      <c r="L323" s="28"/>
      <c r="M323" s="28"/>
      <c r="N323" s="30"/>
    </row>
    <row r="324" spans="1:14" s="2" customFormat="1" ht="15" thickBot="1" x14ac:dyDescent="0.35">
      <c r="A324" s="29"/>
      <c r="B324" s="30">
        <f t="shared" si="4"/>
        <v>1</v>
      </c>
      <c r="C324" s="28"/>
      <c r="D324" s="35" t="str">
        <f>IFERROR(VLOOKUP(C324,T_CÓDIGO[#All],4,FALSE),"")</f>
        <v/>
      </c>
      <c r="E324" s="30" t="str">
        <f>IFERROR(VLOOKUP(C324,T_CÓDIGO[#All],6,FALSE),"")</f>
        <v/>
      </c>
      <c r="F324" s="28"/>
      <c r="G324" s="30"/>
      <c r="H324" s="28"/>
      <c r="I324" s="30"/>
      <c r="J324" s="30"/>
      <c r="K324" s="30" t="str">
        <f>IFERROR(VLOOKUP(C324,T_CÓDIGO[#All],3,FALSE),"")</f>
        <v/>
      </c>
      <c r="L324" s="28"/>
      <c r="M324" s="28"/>
      <c r="N324" s="30"/>
    </row>
    <row r="325" spans="1:14" s="2" customFormat="1" ht="15" thickBot="1" x14ac:dyDescent="0.35">
      <c r="A325" s="29"/>
      <c r="B325" s="30">
        <f t="shared" si="4"/>
        <v>1</v>
      </c>
      <c r="C325" s="28"/>
      <c r="D325" s="35" t="str">
        <f>IFERROR(VLOOKUP(C325,T_CÓDIGO[#All],4,FALSE),"")</f>
        <v/>
      </c>
      <c r="E325" s="30" t="str">
        <f>IFERROR(VLOOKUP(C325,T_CÓDIGO[#All],6,FALSE),"")</f>
        <v/>
      </c>
      <c r="F325" s="28"/>
      <c r="G325" s="30"/>
      <c r="H325" s="28"/>
      <c r="I325" s="30"/>
      <c r="J325" s="30"/>
      <c r="K325" s="30" t="str">
        <f>IFERROR(VLOOKUP(C325,T_CÓDIGO[#All],3,FALSE),"")</f>
        <v/>
      </c>
      <c r="L325" s="28"/>
      <c r="M325" s="28"/>
      <c r="N325" s="30"/>
    </row>
    <row r="326" spans="1:14" s="2" customFormat="1" ht="15" thickBot="1" x14ac:dyDescent="0.35">
      <c r="A326" s="29"/>
      <c r="B326" s="30">
        <f t="shared" si="4"/>
        <v>1</v>
      </c>
      <c r="C326" s="28"/>
      <c r="D326" s="35" t="str">
        <f>IFERROR(VLOOKUP(C326,T_CÓDIGO[#All],4,FALSE),"")</f>
        <v/>
      </c>
      <c r="E326" s="30" t="str">
        <f>IFERROR(VLOOKUP(C326,T_CÓDIGO[#All],6,FALSE),"")</f>
        <v/>
      </c>
      <c r="F326" s="28"/>
      <c r="G326" s="30"/>
      <c r="H326" s="28"/>
      <c r="I326" s="30"/>
      <c r="J326" s="30"/>
      <c r="K326" s="30" t="str">
        <f>IFERROR(VLOOKUP(C326,T_CÓDIGO[#All],3,FALSE),"")</f>
        <v/>
      </c>
      <c r="L326" s="28"/>
      <c r="M326" s="28"/>
      <c r="N326" s="30"/>
    </row>
    <row r="327" spans="1:14" s="2" customFormat="1" ht="15" thickBot="1" x14ac:dyDescent="0.35">
      <c r="A327" s="29"/>
      <c r="B327" s="30">
        <f t="shared" si="4"/>
        <v>1</v>
      </c>
      <c r="C327" s="28"/>
      <c r="D327" s="35" t="str">
        <f>IFERROR(VLOOKUP(C327,T_CÓDIGO[#All],4,FALSE),"")</f>
        <v/>
      </c>
      <c r="E327" s="30" t="str">
        <f>IFERROR(VLOOKUP(C327,T_CÓDIGO[#All],6,FALSE),"")</f>
        <v/>
      </c>
      <c r="F327" s="28"/>
      <c r="G327" s="30"/>
      <c r="H327" s="28"/>
      <c r="I327" s="30"/>
      <c r="J327" s="30"/>
      <c r="K327" s="30" t="str">
        <f>IFERROR(VLOOKUP(C327,T_CÓDIGO[#All],3,FALSE),"")</f>
        <v/>
      </c>
      <c r="L327" s="28"/>
      <c r="M327" s="28"/>
      <c r="N327" s="30"/>
    </row>
    <row r="328" spans="1:14" s="2" customFormat="1" ht="15" thickBot="1" x14ac:dyDescent="0.35">
      <c r="A328" s="29"/>
      <c r="B328" s="30">
        <f t="shared" si="4"/>
        <v>1</v>
      </c>
      <c r="C328" s="28"/>
      <c r="D328" s="35" t="str">
        <f>IFERROR(VLOOKUP(C328,T_CÓDIGO[#All],4,FALSE),"")</f>
        <v/>
      </c>
      <c r="E328" s="30" t="str">
        <f>IFERROR(VLOOKUP(C328,T_CÓDIGO[#All],6,FALSE),"")</f>
        <v/>
      </c>
      <c r="F328" s="28"/>
      <c r="G328" s="30"/>
      <c r="H328" s="28"/>
      <c r="I328" s="30"/>
      <c r="J328" s="30"/>
      <c r="K328" s="30" t="str">
        <f>IFERROR(VLOOKUP(C328,T_CÓDIGO[#All],3,FALSE),"")</f>
        <v/>
      </c>
      <c r="L328" s="28"/>
      <c r="M328" s="28"/>
      <c r="N328" s="30"/>
    </row>
    <row r="329" spans="1:14" s="2" customFormat="1" ht="15" thickBot="1" x14ac:dyDescent="0.35">
      <c r="A329" s="29"/>
      <c r="B329" s="30">
        <f t="shared" si="4"/>
        <v>1</v>
      </c>
      <c r="C329" s="28"/>
      <c r="D329" s="35" t="str">
        <f>IFERROR(VLOOKUP(C329,T_CÓDIGO[#All],4,FALSE),"")</f>
        <v/>
      </c>
      <c r="E329" s="30" t="str">
        <f>IFERROR(VLOOKUP(C329,T_CÓDIGO[#All],6,FALSE),"")</f>
        <v/>
      </c>
      <c r="F329" s="28"/>
      <c r="G329" s="30"/>
      <c r="H329" s="28"/>
      <c r="I329" s="30"/>
      <c r="J329" s="30"/>
      <c r="K329" s="30" t="str">
        <f>IFERROR(VLOOKUP(C329,T_CÓDIGO[#All],3,FALSE),"")</f>
        <v/>
      </c>
      <c r="L329" s="28"/>
      <c r="M329" s="28"/>
      <c r="N329" s="30"/>
    </row>
    <row r="330" spans="1:14" s="2" customFormat="1" ht="15" thickBot="1" x14ac:dyDescent="0.35">
      <c r="A330" s="29"/>
      <c r="B330" s="30">
        <f t="shared" ref="B330:B393" si="5">MONTH(A330)</f>
        <v>1</v>
      </c>
      <c r="C330" s="28"/>
      <c r="D330" s="35" t="str">
        <f>IFERROR(VLOOKUP(C330,T_CÓDIGO[#All],4,FALSE),"")</f>
        <v/>
      </c>
      <c r="E330" s="30" t="str">
        <f>IFERROR(VLOOKUP(C330,T_CÓDIGO[#All],6,FALSE),"")</f>
        <v/>
      </c>
      <c r="F330" s="28"/>
      <c r="G330" s="30"/>
      <c r="H330" s="28"/>
      <c r="I330" s="30"/>
      <c r="J330" s="30"/>
      <c r="K330" s="30" t="str">
        <f>IFERROR(VLOOKUP(C330,T_CÓDIGO[#All],3,FALSE),"")</f>
        <v/>
      </c>
      <c r="L330" s="28"/>
      <c r="M330" s="28"/>
      <c r="N330" s="30"/>
    </row>
    <row r="331" spans="1:14" s="2" customFormat="1" ht="15" thickBot="1" x14ac:dyDescent="0.35">
      <c r="A331" s="29"/>
      <c r="B331" s="30">
        <f t="shared" si="5"/>
        <v>1</v>
      </c>
      <c r="C331" s="28"/>
      <c r="D331" s="35" t="str">
        <f>IFERROR(VLOOKUP(C331,T_CÓDIGO[#All],4,FALSE),"")</f>
        <v/>
      </c>
      <c r="E331" s="30" t="str">
        <f>IFERROR(VLOOKUP(C331,T_CÓDIGO[#All],6,FALSE),"")</f>
        <v/>
      </c>
      <c r="F331" s="28"/>
      <c r="G331" s="30"/>
      <c r="H331" s="28"/>
      <c r="I331" s="30"/>
      <c r="J331" s="30"/>
      <c r="K331" s="30" t="str">
        <f>IFERROR(VLOOKUP(C331,T_CÓDIGO[#All],3,FALSE),"")</f>
        <v/>
      </c>
      <c r="L331" s="28"/>
      <c r="M331" s="28"/>
      <c r="N331" s="30"/>
    </row>
    <row r="332" spans="1:14" s="2" customFormat="1" ht="15" thickBot="1" x14ac:dyDescent="0.35">
      <c r="A332" s="29"/>
      <c r="B332" s="30">
        <f t="shared" si="5"/>
        <v>1</v>
      </c>
      <c r="C332" s="28"/>
      <c r="D332" s="35" t="str">
        <f>IFERROR(VLOOKUP(C332,T_CÓDIGO[#All],4,FALSE),"")</f>
        <v/>
      </c>
      <c r="E332" s="30" t="str">
        <f>IFERROR(VLOOKUP(C332,T_CÓDIGO[#All],6,FALSE),"")</f>
        <v/>
      </c>
      <c r="F332" s="28"/>
      <c r="G332" s="30"/>
      <c r="H332" s="28"/>
      <c r="I332" s="30"/>
      <c r="J332" s="30"/>
      <c r="K332" s="30" t="str">
        <f>IFERROR(VLOOKUP(C332,T_CÓDIGO[#All],3,FALSE),"")</f>
        <v/>
      </c>
      <c r="L332" s="28"/>
      <c r="M332" s="28"/>
      <c r="N332" s="30"/>
    </row>
    <row r="333" spans="1:14" s="2" customFormat="1" ht="15" thickBot="1" x14ac:dyDescent="0.35">
      <c r="A333" s="29"/>
      <c r="B333" s="30">
        <f t="shared" si="5"/>
        <v>1</v>
      </c>
      <c r="C333" s="28"/>
      <c r="D333" s="35" t="str">
        <f>IFERROR(VLOOKUP(C333,T_CÓDIGO[#All],4,FALSE),"")</f>
        <v/>
      </c>
      <c r="E333" s="30" t="str">
        <f>IFERROR(VLOOKUP(C333,T_CÓDIGO[#All],6,FALSE),"")</f>
        <v/>
      </c>
      <c r="F333" s="28"/>
      <c r="G333" s="30"/>
      <c r="H333" s="28"/>
      <c r="I333" s="30"/>
      <c r="J333" s="30"/>
      <c r="K333" s="30" t="str">
        <f>IFERROR(VLOOKUP(C333,T_CÓDIGO[#All],3,FALSE),"")</f>
        <v/>
      </c>
      <c r="L333" s="28"/>
      <c r="M333" s="28"/>
      <c r="N333" s="30"/>
    </row>
    <row r="334" spans="1:14" s="2" customFormat="1" ht="15" thickBot="1" x14ac:dyDescent="0.35">
      <c r="A334" s="29"/>
      <c r="B334" s="30">
        <f t="shared" si="5"/>
        <v>1</v>
      </c>
      <c r="C334" s="28"/>
      <c r="D334" s="35" t="str">
        <f>IFERROR(VLOOKUP(C334,T_CÓDIGO[#All],4,FALSE),"")</f>
        <v/>
      </c>
      <c r="E334" s="30" t="str">
        <f>IFERROR(VLOOKUP(C334,T_CÓDIGO[#All],6,FALSE),"")</f>
        <v/>
      </c>
      <c r="F334" s="28"/>
      <c r="G334" s="30"/>
      <c r="H334" s="28"/>
      <c r="I334" s="30"/>
      <c r="J334" s="30"/>
      <c r="K334" s="30" t="str">
        <f>IFERROR(VLOOKUP(C334,T_CÓDIGO[#All],3,FALSE),"")</f>
        <v/>
      </c>
      <c r="L334" s="28"/>
      <c r="M334" s="28"/>
      <c r="N334" s="30"/>
    </row>
    <row r="335" spans="1:14" s="2" customFormat="1" ht="15" thickBot="1" x14ac:dyDescent="0.35">
      <c r="A335" s="29"/>
      <c r="B335" s="30">
        <f t="shared" si="5"/>
        <v>1</v>
      </c>
      <c r="C335" s="28"/>
      <c r="D335" s="35" t="str">
        <f>IFERROR(VLOOKUP(C335,T_CÓDIGO[#All],4,FALSE),"")</f>
        <v/>
      </c>
      <c r="E335" s="30" t="str">
        <f>IFERROR(VLOOKUP(C335,T_CÓDIGO[#All],6,FALSE),"")</f>
        <v/>
      </c>
      <c r="F335" s="28"/>
      <c r="G335" s="30"/>
      <c r="H335" s="28"/>
      <c r="I335" s="30"/>
      <c r="J335" s="30"/>
      <c r="K335" s="30" t="str">
        <f>IFERROR(VLOOKUP(C335,T_CÓDIGO[#All],3,FALSE),"")</f>
        <v/>
      </c>
      <c r="L335" s="28"/>
      <c r="M335" s="28"/>
      <c r="N335" s="30"/>
    </row>
    <row r="336" spans="1:14" s="2" customFormat="1" ht="15" thickBot="1" x14ac:dyDescent="0.35">
      <c r="A336" s="29"/>
      <c r="B336" s="30">
        <f t="shared" si="5"/>
        <v>1</v>
      </c>
      <c r="C336" s="28"/>
      <c r="D336" s="35" t="str">
        <f>IFERROR(VLOOKUP(C336,T_CÓDIGO[#All],4,FALSE),"")</f>
        <v/>
      </c>
      <c r="E336" s="30" t="str">
        <f>IFERROR(VLOOKUP(C336,T_CÓDIGO[#All],6,FALSE),"")</f>
        <v/>
      </c>
      <c r="F336" s="28"/>
      <c r="G336" s="30"/>
      <c r="H336" s="28"/>
      <c r="I336" s="30"/>
      <c r="J336" s="30"/>
      <c r="K336" s="30" t="str">
        <f>IFERROR(VLOOKUP(C336,T_CÓDIGO[#All],3,FALSE),"")</f>
        <v/>
      </c>
      <c r="L336" s="28"/>
      <c r="M336" s="28"/>
      <c r="N336" s="30"/>
    </row>
    <row r="337" spans="1:14" s="2" customFormat="1" ht="15" thickBot="1" x14ac:dyDescent="0.35">
      <c r="A337" s="29"/>
      <c r="B337" s="30">
        <f t="shared" si="5"/>
        <v>1</v>
      </c>
      <c r="C337" s="28"/>
      <c r="D337" s="35" t="str">
        <f>IFERROR(VLOOKUP(C337,T_CÓDIGO[#All],4,FALSE),"")</f>
        <v/>
      </c>
      <c r="E337" s="30" t="str">
        <f>IFERROR(VLOOKUP(C337,T_CÓDIGO[#All],6,FALSE),"")</f>
        <v/>
      </c>
      <c r="F337" s="28"/>
      <c r="G337" s="30"/>
      <c r="H337" s="28"/>
      <c r="I337" s="30"/>
      <c r="J337" s="30"/>
      <c r="K337" s="30" t="str">
        <f>IFERROR(VLOOKUP(C337,T_CÓDIGO[#All],3,FALSE),"")</f>
        <v/>
      </c>
      <c r="L337" s="28"/>
      <c r="M337" s="28"/>
      <c r="N337" s="30"/>
    </row>
    <row r="338" spans="1:14" s="2" customFormat="1" ht="15" thickBot="1" x14ac:dyDescent="0.35">
      <c r="A338" s="29"/>
      <c r="B338" s="30">
        <f t="shared" si="5"/>
        <v>1</v>
      </c>
      <c r="C338" s="28"/>
      <c r="D338" s="35" t="str">
        <f>IFERROR(VLOOKUP(C338,T_CÓDIGO[#All],4,FALSE),"")</f>
        <v/>
      </c>
      <c r="E338" s="30" t="str">
        <f>IFERROR(VLOOKUP(C338,T_CÓDIGO[#All],6,FALSE),"")</f>
        <v/>
      </c>
      <c r="F338" s="28"/>
      <c r="G338" s="30"/>
      <c r="H338" s="28"/>
      <c r="I338" s="30"/>
      <c r="J338" s="30"/>
      <c r="K338" s="30" t="str">
        <f>IFERROR(VLOOKUP(C338,T_CÓDIGO[#All],3,FALSE),"")</f>
        <v/>
      </c>
      <c r="L338" s="28"/>
      <c r="M338" s="28"/>
      <c r="N338" s="30"/>
    </row>
    <row r="339" spans="1:14" s="2" customFormat="1" ht="15" thickBot="1" x14ac:dyDescent="0.35">
      <c r="A339" s="29"/>
      <c r="B339" s="30">
        <f t="shared" si="5"/>
        <v>1</v>
      </c>
      <c r="C339" s="28"/>
      <c r="D339" s="35" t="str">
        <f>IFERROR(VLOOKUP(C339,T_CÓDIGO[#All],4,FALSE),"")</f>
        <v/>
      </c>
      <c r="E339" s="30" t="str">
        <f>IFERROR(VLOOKUP(C339,T_CÓDIGO[#All],6,FALSE),"")</f>
        <v/>
      </c>
      <c r="F339" s="28"/>
      <c r="G339" s="30"/>
      <c r="H339" s="28"/>
      <c r="I339" s="30"/>
      <c r="J339" s="30"/>
      <c r="K339" s="30" t="str">
        <f>IFERROR(VLOOKUP(C339,T_CÓDIGO[#All],3,FALSE),"")</f>
        <v/>
      </c>
      <c r="L339" s="28"/>
      <c r="M339" s="28"/>
      <c r="N339" s="30"/>
    </row>
    <row r="340" spans="1:14" s="2" customFormat="1" ht="15" thickBot="1" x14ac:dyDescent="0.35">
      <c r="A340" s="29"/>
      <c r="B340" s="30">
        <f t="shared" si="5"/>
        <v>1</v>
      </c>
      <c r="C340" s="28"/>
      <c r="D340" s="35" t="str">
        <f>IFERROR(VLOOKUP(C340,T_CÓDIGO[#All],4,FALSE),"")</f>
        <v/>
      </c>
      <c r="E340" s="30" t="str">
        <f>IFERROR(VLOOKUP(C340,T_CÓDIGO[#All],6,FALSE),"")</f>
        <v/>
      </c>
      <c r="F340" s="28"/>
      <c r="G340" s="30"/>
      <c r="H340" s="28"/>
      <c r="I340" s="30"/>
      <c r="J340" s="30"/>
      <c r="K340" s="30" t="str">
        <f>IFERROR(VLOOKUP(C340,T_CÓDIGO[#All],3,FALSE),"")</f>
        <v/>
      </c>
      <c r="L340" s="28"/>
      <c r="M340" s="28"/>
      <c r="N340" s="30"/>
    </row>
    <row r="341" spans="1:14" s="2" customFormat="1" ht="15" thickBot="1" x14ac:dyDescent="0.35">
      <c r="A341" s="29"/>
      <c r="B341" s="30">
        <f t="shared" si="5"/>
        <v>1</v>
      </c>
      <c r="C341" s="28"/>
      <c r="D341" s="35" t="str">
        <f>IFERROR(VLOOKUP(C341,T_CÓDIGO[#All],4,FALSE),"")</f>
        <v/>
      </c>
      <c r="E341" s="30" t="str">
        <f>IFERROR(VLOOKUP(C341,T_CÓDIGO[#All],6,FALSE),"")</f>
        <v/>
      </c>
      <c r="F341" s="28"/>
      <c r="G341" s="30"/>
      <c r="H341" s="28"/>
      <c r="I341" s="30"/>
      <c r="J341" s="30"/>
      <c r="K341" s="30" t="str">
        <f>IFERROR(VLOOKUP(C341,T_CÓDIGO[#All],3,FALSE),"")</f>
        <v/>
      </c>
      <c r="L341" s="28"/>
      <c r="M341" s="28"/>
      <c r="N341" s="30"/>
    </row>
    <row r="342" spans="1:14" s="2" customFormat="1" ht="15" thickBot="1" x14ac:dyDescent="0.35">
      <c r="A342" s="29"/>
      <c r="B342" s="30">
        <f t="shared" si="5"/>
        <v>1</v>
      </c>
      <c r="C342" s="28"/>
      <c r="D342" s="35" t="str">
        <f>IFERROR(VLOOKUP(C342,T_CÓDIGO[#All],4,FALSE),"")</f>
        <v/>
      </c>
      <c r="E342" s="30" t="str">
        <f>IFERROR(VLOOKUP(C342,T_CÓDIGO[#All],6,FALSE),"")</f>
        <v/>
      </c>
      <c r="F342" s="28"/>
      <c r="G342" s="30"/>
      <c r="H342" s="28"/>
      <c r="I342" s="30"/>
      <c r="J342" s="30"/>
      <c r="K342" s="30" t="str">
        <f>IFERROR(VLOOKUP(C342,T_CÓDIGO[#All],3,FALSE),"")</f>
        <v/>
      </c>
      <c r="L342" s="28"/>
      <c r="M342" s="28"/>
      <c r="N342" s="30"/>
    </row>
    <row r="343" spans="1:14" s="2" customFormat="1" ht="15" thickBot="1" x14ac:dyDescent="0.35">
      <c r="A343" s="29"/>
      <c r="B343" s="30">
        <f t="shared" si="5"/>
        <v>1</v>
      </c>
      <c r="C343" s="28"/>
      <c r="D343" s="35" t="str">
        <f>IFERROR(VLOOKUP(C343,T_CÓDIGO[#All],4,FALSE),"")</f>
        <v/>
      </c>
      <c r="E343" s="30" t="str">
        <f>IFERROR(VLOOKUP(C343,T_CÓDIGO[#All],6,FALSE),"")</f>
        <v/>
      </c>
      <c r="F343" s="28"/>
      <c r="G343" s="30"/>
      <c r="H343" s="28"/>
      <c r="I343" s="30"/>
      <c r="J343" s="30"/>
      <c r="K343" s="30" t="str">
        <f>IFERROR(VLOOKUP(C343,T_CÓDIGO[#All],3,FALSE),"")</f>
        <v/>
      </c>
      <c r="L343" s="28"/>
      <c r="M343" s="28"/>
      <c r="N343" s="30"/>
    </row>
    <row r="344" spans="1:14" s="2" customFormat="1" ht="15" thickBot="1" x14ac:dyDescent="0.35">
      <c r="A344" s="29"/>
      <c r="B344" s="30">
        <f t="shared" si="5"/>
        <v>1</v>
      </c>
      <c r="C344" s="28"/>
      <c r="D344" s="35" t="str">
        <f>IFERROR(VLOOKUP(C344,T_CÓDIGO[#All],4,FALSE),"")</f>
        <v/>
      </c>
      <c r="E344" s="30" t="str">
        <f>IFERROR(VLOOKUP(C344,T_CÓDIGO[#All],6,FALSE),"")</f>
        <v/>
      </c>
      <c r="F344" s="28"/>
      <c r="G344" s="30"/>
      <c r="H344" s="28"/>
      <c r="I344" s="30"/>
      <c r="J344" s="30"/>
      <c r="K344" s="30" t="str">
        <f>IFERROR(VLOOKUP(C344,T_CÓDIGO[#All],3,FALSE),"")</f>
        <v/>
      </c>
      <c r="L344" s="28"/>
      <c r="M344" s="28"/>
      <c r="N344" s="30"/>
    </row>
    <row r="345" spans="1:14" s="2" customFormat="1" ht="15" thickBot="1" x14ac:dyDescent="0.35">
      <c r="A345" s="29"/>
      <c r="B345" s="30">
        <f t="shared" si="5"/>
        <v>1</v>
      </c>
      <c r="C345" s="28"/>
      <c r="D345" s="35" t="str">
        <f>IFERROR(VLOOKUP(C345,T_CÓDIGO[#All],4,FALSE),"")</f>
        <v/>
      </c>
      <c r="E345" s="30" t="str">
        <f>IFERROR(VLOOKUP(C345,T_CÓDIGO[#All],6,FALSE),"")</f>
        <v/>
      </c>
      <c r="F345" s="28"/>
      <c r="G345" s="30"/>
      <c r="H345" s="28"/>
      <c r="I345" s="30"/>
      <c r="J345" s="30"/>
      <c r="K345" s="30" t="str">
        <f>IFERROR(VLOOKUP(C345,T_CÓDIGO[#All],3,FALSE),"")</f>
        <v/>
      </c>
      <c r="L345" s="28"/>
      <c r="M345" s="28"/>
      <c r="N345" s="30"/>
    </row>
    <row r="346" spans="1:14" s="2" customFormat="1" ht="15" thickBot="1" x14ac:dyDescent="0.35">
      <c r="A346" s="29"/>
      <c r="B346" s="30">
        <f t="shared" si="5"/>
        <v>1</v>
      </c>
      <c r="C346" s="28"/>
      <c r="D346" s="35" t="str">
        <f>IFERROR(VLOOKUP(C346,T_CÓDIGO[#All],4,FALSE),"")</f>
        <v/>
      </c>
      <c r="E346" s="30" t="str">
        <f>IFERROR(VLOOKUP(C346,T_CÓDIGO[#All],6,FALSE),"")</f>
        <v/>
      </c>
      <c r="F346" s="28"/>
      <c r="G346" s="30"/>
      <c r="H346" s="28"/>
      <c r="I346" s="30"/>
      <c r="J346" s="30"/>
      <c r="K346" s="30" t="str">
        <f>IFERROR(VLOOKUP(C346,T_CÓDIGO[#All],3,FALSE),"")</f>
        <v/>
      </c>
      <c r="L346" s="28"/>
      <c r="M346" s="28"/>
      <c r="N346" s="30"/>
    </row>
    <row r="347" spans="1:14" s="2" customFormat="1" ht="15" thickBot="1" x14ac:dyDescent="0.35">
      <c r="A347" s="29"/>
      <c r="B347" s="30">
        <f t="shared" si="5"/>
        <v>1</v>
      </c>
      <c r="C347" s="28"/>
      <c r="D347" s="35" t="str">
        <f>IFERROR(VLOOKUP(C347,T_CÓDIGO[#All],4,FALSE),"")</f>
        <v/>
      </c>
      <c r="E347" s="30" t="str">
        <f>IFERROR(VLOOKUP(C347,T_CÓDIGO[#All],6,FALSE),"")</f>
        <v/>
      </c>
      <c r="F347" s="28"/>
      <c r="G347" s="30"/>
      <c r="H347" s="28"/>
      <c r="I347" s="30"/>
      <c r="J347" s="30"/>
      <c r="K347" s="30" t="str">
        <f>IFERROR(VLOOKUP(C347,T_CÓDIGO[#All],3,FALSE),"")</f>
        <v/>
      </c>
      <c r="L347" s="28"/>
      <c r="M347" s="28"/>
      <c r="N347" s="30"/>
    </row>
    <row r="348" spans="1:14" s="2" customFormat="1" ht="15" thickBot="1" x14ac:dyDescent="0.35">
      <c r="A348" s="29"/>
      <c r="B348" s="30">
        <f t="shared" si="5"/>
        <v>1</v>
      </c>
      <c r="C348" s="28"/>
      <c r="D348" s="35" t="str">
        <f>IFERROR(VLOOKUP(C348,T_CÓDIGO[#All],4,FALSE),"")</f>
        <v/>
      </c>
      <c r="E348" s="30" t="str">
        <f>IFERROR(VLOOKUP(C348,T_CÓDIGO[#All],6,FALSE),"")</f>
        <v/>
      </c>
      <c r="F348" s="28"/>
      <c r="G348" s="30"/>
      <c r="H348" s="28"/>
      <c r="I348" s="30"/>
      <c r="J348" s="30"/>
      <c r="K348" s="30" t="str">
        <f>IFERROR(VLOOKUP(C348,T_CÓDIGO[#All],3,FALSE),"")</f>
        <v/>
      </c>
      <c r="L348" s="28"/>
      <c r="M348" s="28"/>
      <c r="N348" s="30"/>
    </row>
    <row r="349" spans="1:14" s="2" customFormat="1" ht="15" thickBot="1" x14ac:dyDescent="0.35">
      <c r="A349" s="29"/>
      <c r="B349" s="30">
        <f t="shared" si="5"/>
        <v>1</v>
      </c>
      <c r="C349" s="28"/>
      <c r="D349" s="35" t="str">
        <f>IFERROR(VLOOKUP(C349,T_CÓDIGO[#All],4,FALSE),"")</f>
        <v/>
      </c>
      <c r="E349" s="30" t="str">
        <f>IFERROR(VLOOKUP(C349,T_CÓDIGO[#All],6,FALSE),"")</f>
        <v/>
      </c>
      <c r="F349" s="28"/>
      <c r="G349" s="30"/>
      <c r="H349" s="28"/>
      <c r="I349" s="30"/>
      <c r="J349" s="30"/>
      <c r="K349" s="30" t="str">
        <f>IFERROR(VLOOKUP(C349,T_CÓDIGO[#All],3,FALSE),"")</f>
        <v/>
      </c>
      <c r="L349" s="28"/>
      <c r="M349" s="28"/>
      <c r="N349" s="30"/>
    </row>
    <row r="350" spans="1:14" s="2" customFormat="1" ht="15" thickBot="1" x14ac:dyDescent="0.35">
      <c r="A350" s="29"/>
      <c r="B350" s="30">
        <f t="shared" si="5"/>
        <v>1</v>
      </c>
      <c r="C350" s="28"/>
      <c r="D350" s="35" t="str">
        <f>IFERROR(VLOOKUP(C350,T_CÓDIGO[#All],4,FALSE),"")</f>
        <v/>
      </c>
      <c r="E350" s="30" t="str">
        <f>IFERROR(VLOOKUP(C350,T_CÓDIGO[#All],6,FALSE),"")</f>
        <v/>
      </c>
      <c r="F350" s="28"/>
      <c r="G350" s="30"/>
      <c r="H350" s="28"/>
      <c r="I350" s="30"/>
      <c r="J350" s="30"/>
      <c r="K350" s="30" t="str">
        <f>IFERROR(VLOOKUP(C350,T_CÓDIGO[#All],3,FALSE),"")</f>
        <v/>
      </c>
      <c r="L350" s="28"/>
      <c r="M350" s="28"/>
      <c r="N350" s="30"/>
    </row>
    <row r="351" spans="1:14" s="2" customFormat="1" ht="15" thickBot="1" x14ac:dyDescent="0.35">
      <c r="A351" s="29"/>
      <c r="B351" s="30">
        <f t="shared" si="5"/>
        <v>1</v>
      </c>
      <c r="C351" s="28"/>
      <c r="D351" s="35" t="str">
        <f>IFERROR(VLOOKUP(C351,T_CÓDIGO[#All],4,FALSE),"")</f>
        <v/>
      </c>
      <c r="E351" s="30" t="str">
        <f>IFERROR(VLOOKUP(C351,T_CÓDIGO[#All],6,FALSE),"")</f>
        <v/>
      </c>
      <c r="F351" s="28"/>
      <c r="G351" s="30"/>
      <c r="H351" s="28"/>
      <c r="I351" s="30"/>
      <c r="J351" s="30"/>
      <c r="K351" s="30" t="str">
        <f>IFERROR(VLOOKUP(C351,T_CÓDIGO[#All],3,FALSE),"")</f>
        <v/>
      </c>
      <c r="L351" s="28"/>
      <c r="M351" s="28"/>
      <c r="N351" s="30"/>
    </row>
    <row r="352" spans="1:14" s="2" customFormat="1" ht="15" thickBot="1" x14ac:dyDescent="0.35">
      <c r="A352" s="29"/>
      <c r="B352" s="30">
        <f t="shared" si="5"/>
        <v>1</v>
      </c>
      <c r="C352" s="28"/>
      <c r="D352" s="35" t="str">
        <f>IFERROR(VLOOKUP(C352,T_CÓDIGO[#All],4,FALSE),"")</f>
        <v/>
      </c>
      <c r="E352" s="30" t="str">
        <f>IFERROR(VLOOKUP(C352,T_CÓDIGO[#All],6,FALSE),"")</f>
        <v/>
      </c>
      <c r="F352" s="28"/>
      <c r="G352" s="30"/>
      <c r="H352" s="28"/>
      <c r="I352" s="30"/>
      <c r="J352" s="30"/>
      <c r="K352" s="30" t="str">
        <f>IFERROR(VLOOKUP(C352,T_CÓDIGO[#All],3,FALSE),"")</f>
        <v/>
      </c>
      <c r="L352" s="28"/>
      <c r="M352" s="28"/>
      <c r="N352" s="30"/>
    </row>
    <row r="353" spans="1:14" s="2" customFormat="1" ht="15" thickBot="1" x14ac:dyDescent="0.35">
      <c r="A353" s="29"/>
      <c r="B353" s="30">
        <f t="shared" si="5"/>
        <v>1</v>
      </c>
      <c r="C353" s="28"/>
      <c r="D353" s="35" t="str">
        <f>IFERROR(VLOOKUP(C353,T_CÓDIGO[#All],4,FALSE),"")</f>
        <v/>
      </c>
      <c r="E353" s="30" t="str">
        <f>IFERROR(VLOOKUP(C353,T_CÓDIGO[#All],6,FALSE),"")</f>
        <v/>
      </c>
      <c r="F353" s="28"/>
      <c r="G353" s="30"/>
      <c r="H353" s="28"/>
      <c r="I353" s="30"/>
      <c r="J353" s="30"/>
      <c r="K353" s="30" t="str">
        <f>IFERROR(VLOOKUP(C353,T_CÓDIGO[#All],3,FALSE),"")</f>
        <v/>
      </c>
      <c r="L353" s="28"/>
      <c r="M353" s="28"/>
      <c r="N353" s="30"/>
    </row>
    <row r="354" spans="1:14" s="2" customFormat="1" ht="15" thickBot="1" x14ac:dyDescent="0.35">
      <c r="A354" s="29"/>
      <c r="B354" s="30">
        <f t="shared" si="5"/>
        <v>1</v>
      </c>
      <c r="C354" s="28"/>
      <c r="D354" s="35" t="str">
        <f>IFERROR(VLOOKUP(C354,T_CÓDIGO[#All],4,FALSE),"")</f>
        <v/>
      </c>
      <c r="E354" s="30" t="str">
        <f>IFERROR(VLOOKUP(C354,T_CÓDIGO[#All],6,FALSE),"")</f>
        <v/>
      </c>
      <c r="F354" s="28"/>
      <c r="G354" s="30"/>
      <c r="H354" s="28"/>
      <c r="I354" s="30"/>
      <c r="J354" s="30"/>
      <c r="K354" s="30" t="str">
        <f>IFERROR(VLOOKUP(C354,T_CÓDIGO[#All],3,FALSE),"")</f>
        <v/>
      </c>
      <c r="L354" s="28"/>
      <c r="M354" s="28"/>
      <c r="N354" s="30"/>
    </row>
    <row r="355" spans="1:14" s="2" customFormat="1" ht="15" thickBot="1" x14ac:dyDescent="0.35">
      <c r="A355" s="29"/>
      <c r="B355" s="30">
        <f t="shared" si="5"/>
        <v>1</v>
      </c>
      <c r="C355" s="28"/>
      <c r="D355" s="35" t="str">
        <f>IFERROR(VLOOKUP(C355,T_CÓDIGO[#All],4,FALSE),"")</f>
        <v/>
      </c>
      <c r="E355" s="30" t="str">
        <f>IFERROR(VLOOKUP(C355,T_CÓDIGO[#All],6,FALSE),"")</f>
        <v/>
      </c>
      <c r="F355" s="28"/>
      <c r="G355" s="30"/>
      <c r="H355" s="28"/>
      <c r="I355" s="30"/>
      <c r="J355" s="30"/>
      <c r="K355" s="30" t="str">
        <f>IFERROR(VLOOKUP(C355,T_CÓDIGO[#All],3,FALSE),"")</f>
        <v/>
      </c>
      <c r="L355" s="28"/>
      <c r="M355" s="28"/>
      <c r="N355" s="30"/>
    </row>
    <row r="356" spans="1:14" s="2" customFormat="1" ht="15" thickBot="1" x14ac:dyDescent="0.35">
      <c r="A356" s="29"/>
      <c r="B356" s="30">
        <f t="shared" si="5"/>
        <v>1</v>
      </c>
      <c r="C356" s="28"/>
      <c r="D356" s="35" t="str">
        <f>IFERROR(VLOOKUP(C356,T_CÓDIGO[#All],4,FALSE),"")</f>
        <v/>
      </c>
      <c r="E356" s="30" t="str">
        <f>IFERROR(VLOOKUP(C356,T_CÓDIGO[#All],6,FALSE),"")</f>
        <v/>
      </c>
      <c r="F356" s="28"/>
      <c r="G356" s="30"/>
      <c r="H356" s="28"/>
      <c r="I356" s="30"/>
      <c r="J356" s="30"/>
      <c r="K356" s="30" t="str">
        <f>IFERROR(VLOOKUP(C356,T_CÓDIGO[#All],3,FALSE),"")</f>
        <v/>
      </c>
      <c r="L356" s="28"/>
      <c r="M356" s="28"/>
      <c r="N356" s="30"/>
    </row>
    <row r="357" spans="1:14" s="2" customFormat="1" ht="15" thickBot="1" x14ac:dyDescent="0.35">
      <c r="A357" s="29"/>
      <c r="B357" s="30">
        <f t="shared" si="5"/>
        <v>1</v>
      </c>
      <c r="C357" s="28"/>
      <c r="D357" s="35" t="str">
        <f>IFERROR(VLOOKUP(C357,T_CÓDIGO[#All],4,FALSE),"")</f>
        <v/>
      </c>
      <c r="E357" s="30" t="str">
        <f>IFERROR(VLOOKUP(C357,T_CÓDIGO[#All],6,FALSE),"")</f>
        <v/>
      </c>
      <c r="F357" s="28"/>
      <c r="G357" s="30"/>
      <c r="H357" s="28"/>
      <c r="I357" s="30"/>
      <c r="J357" s="30"/>
      <c r="K357" s="30" t="str">
        <f>IFERROR(VLOOKUP(C357,T_CÓDIGO[#All],3,FALSE),"")</f>
        <v/>
      </c>
      <c r="L357" s="28"/>
      <c r="M357" s="28"/>
      <c r="N357" s="30"/>
    </row>
    <row r="358" spans="1:14" s="2" customFormat="1" ht="15" thickBot="1" x14ac:dyDescent="0.35">
      <c r="A358" s="29"/>
      <c r="B358" s="30">
        <f t="shared" si="5"/>
        <v>1</v>
      </c>
      <c r="C358" s="28"/>
      <c r="D358" s="35" t="str">
        <f>IFERROR(VLOOKUP(C358,T_CÓDIGO[#All],4,FALSE),"")</f>
        <v/>
      </c>
      <c r="E358" s="30" t="str">
        <f>IFERROR(VLOOKUP(C358,T_CÓDIGO[#All],6,FALSE),"")</f>
        <v/>
      </c>
      <c r="F358" s="28"/>
      <c r="G358" s="30"/>
      <c r="H358" s="28"/>
      <c r="I358" s="30"/>
      <c r="J358" s="30"/>
      <c r="K358" s="30" t="str">
        <f>IFERROR(VLOOKUP(C358,T_CÓDIGO[#All],3,FALSE),"")</f>
        <v/>
      </c>
      <c r="L358" s="28"/>
      <c r="M358" s="28"/>
      <c r="N358" s="30"/>
    </row>
    <row r="359" spans="1:14" s="2" customFormat="1" ht="15" thickBot="1" x14ac:dyDescent="0.35">
      <c r="A359" s="29"/>
      <c r="B359" s="30">
        <f t="shared" si="5"/>
        <v>1</v>
      </c>
      <c r="C359" s="28"/>
      <c r="D359" s="35" t="str">
        <f>IFERROR(VLOOKUP(C359,T_CÓDIGO[#All],4,FALSE),"")</f>
        <v/>
      </c>
      <c r="E359" s="30" t="str">
        <f>IFERROR(VLOOKUP(C359,T_CÓDIGO[#All],6,FALSE),"")</f>
        <v/>
      </c>
      <c r="F359" s="28"/>
      <c r="G359" s="30"/>
      <c r="H359" s="28"/>
      <c r="I359" s="30"/>
      <c r="J359" s="30"/>
      <c r="K359" s="30" t="str">
        <f>IFERROR(VLOOKUP(C359,T_CÓDIGO[#All],3,FALSE),"")</f>
        <v/>
      </c>
      <c r="L359" s="28"/>
      <c r="M359" s="28"/>
      <c r="N359" s="30"/>
    </row>
    <row r="360" spans="1:14" s="2" customFormat="1" ht="15" thickBot="1" x14ac:dyDescent="0.35">
      <c r="A360" s="29"/>
      <c r="B360" s="30">
        <f t="shared" si="5"/>
        <v>1</v>
      </c>
      <c r="C360" s="28"/>
      <c r="D360" s="35" t="str">
        <f>IFERROR(VLOOKUP(C360,T_CÓDIGO[#All],4,FALSE),"")</f>
        <v/>
      </c>
      <c r="E360" s="30" t="str">
        <f>IFERROR(VLOOKUP(C360,T_CÓDIGO[#All],6,FALSE),"")</f>
        <v/>
      </c>
      <c r="F360" s="28"/>
      <c r="G360" s="30"/>
      <c r="H360" s="28"/>
      <c r="I360" s="30"/>
      <c r="J360" s="30"/>
      <c r="K360" s="30" t="str">
        <f>IFERROR(VLOOKUP(C360,T_CÓDIGO[#All],3,FALSE),"")</f>
        <v/>
      </c>
      <c r="L360" s="28"/>
      <c r="M360" s="28"/>
      <c r="N360" s="30"/>
    </row>
    <row r="361" spans="1:14" s="2" customFormat="1" ht="15" thickBot="1" x14ac:dyDescent="0.35">
      <c r="A361" s="29"/>
      <c r="B361" s="30">
        <f t="shared" si="5"/>
        <v>1</v>
      </c>
      <c r="C361" s="28"/>
      <c r="D361" s="35" t="str">
        <f>IFERROR(VLOOKUP(C361,T_CÓDIGO[#All],4,FALSE),"")</f>
        <v/>
      </c>
      <c r="E361" s="30" t="str">
        <f>IFERROR(VLOOKUP(C361,T_CÓDIGO[#All],6,FALSE),"")</f>
        <v/>
      </c>
      <c r="F361" s="28"/>
      <c r="G361" s="30"/>
      <c r="H361" s="28"/>
      <c r="I361" s="30"/>
      <c r="J361" s="30"/>
      <c r="K361" s="30" t="str">
        <f>IFERROR(VLOOKUP(C361,T_CÓDIGO[#All],3,FALSE),"")</f>
        <v/>
      </c>
      <c r="L361" s="28"/>
      <c r="M361" s="28"/>
      <c r="N361" s="30"/>
    </row>
    <row r="362" spans="1:14" s="2" customFormat="1" ht="15" thickBot="1" x14ac:dyDescent="0.35">
      <c r="A362" s="29"/>
      <c r="B362" s="30">
        <f t="shared" si="5"/>
        <v>1</v>
      </c>
      <c r="C362" s="28"/>
      <c r="D362" s="35" t="str">
        <f>IFERROR(VLOOKUP(C362,T_CÓDIGO[#All],4,FALSE),"")</f>
        <v/>
      </c>
      <c r="E362" s="30" t="str">
        <f>IFERROR(VLOOKUP(C362,T_CÓDIGO[#All],6,FALSE),"")</f>
        <v/>
      </c>
      <c r="F362" s="28"/>
      <c r="G362" s="30"/>
      <c r="H362" s="28"/>
      <c r="I362" s="30"/>
      <c r="J362" s="30"/>
      <c r="K362" s="30" t="str">
        <f>IFERROR(VLOOKUP(C362,T_CÓDIGO[#All],3,FALSE),"")</f>
        <v/>
      </c>
      <c r="L362" s="28"/>
      <c r="M362" s="28"/>
      <c r="N362" s="30"/>
    </row>
    <row r="363" spans="1:14" s="2" customFormat="1" ht="15" thickBot="1" x14ac:dyDescent="0.35">
      <c r="A363" s="29"/>
      <c r="B363" s="30">
        <f t="shared" si="5"/>
        <v>1</v>
      </c>
      <c r="C363" s="28"/>
      <c r="D363" s="35" t="str">
        <f>IFERROR(VLOOKUP(C363,T_CÓDIGO[#All],4,FALSE),"")</f>
        <v/>
      </c>
      <c r="E363" s="30" t="str">
        <f>IFERROR(VLOOKUP(C363,T_CÓDIGO[#All],6,FALSE),"")</f>
        <v/>
      </c>
      <c r="F363" s="28"/>
      <c r="G363" s="30"/>
      <c r="H363" s="28"/>
      <c r="I363" s="30"/>
      <c r="J363" s="30"/>
      <c r="K363" s="30" t="str">
        <f>IFERROR(VLOOKUP(C363,T_CÓDIGO[#All],3,FALSE),"")</f>
        <v/>
      </c>
      <c r="L363" s="28"/>
      <c r="M363" s="28"/>
      <c r="N363" s="30"/>
    </row>
    <row r="364" spans="1:14" s="2" customFormat="1" ht="15" thickBot="1" x14ac:dyDescent="0.35">
      <c r="A364" s="29"/>
      <c r="B364" s="30">
        <f t="shared" si="5"/>
        <v>1</v>
      </c>
      <c r="C364" s="28"/>
      <c r="D364" s="35" t="str">
        <f>IFERROR(VLOOKUP(C364,T_CÓDIGO[#All],4,FALSE),"")</f>
        <v/>
      </c>
      <c r="E364" s="30" t="str">
        <f>IFERROR(VLOOKUP(C364,T_CÓDIGO[#All],6,FALSE),"")</f>
        <v/>
      </c>
      <c r="F364" s="28"/>
      <c r="G364" s="30"/>
      <c r="H364" s="28"/>
      <c r="I364" s="30"/>
      <c r="J364" s="30"/>
      <c r="K364" s="30" t="str">
        <f>IFERROR(VLOOKUP(C364,T_CÓDIGO[#All],3,FALSE),"")</f>
        <v/>
      </c>
      <c r="L364" s="28"/>
      <c r="M364" s="28"/>
      <c r="N364" s="30"/>
    </row>
    <row r="365" spans="1:14" s="2" customFormat="1" ht="15" thickBot="1" x14ac:dyDescent="0.35">
      <c r="A365" s="29"/>
      <c r="B365" s="30">
        <f t="shared" si="5"/>
        <v>1</v>
      </c>
      <c r="C365" s="28"/>
      <c r="D365" s="35" t="str">
        <f>IFERROR(VLOOKUP(C365,T_CÓDIGO[#All],4,FALSE),"")</f>
        <v/>
      </c>
      <c r="E365" s="30" t="str">
        <f>IFERROR(VLOOKUP(C365,T_CÓDIGO[#All],6,FALSE),"")</f>
        <v/>
      </c>
      <c r="F365" s="28"/>
      <c r="G365" s="30"/>
      <c r="H365" s="28"/>
      <c r="I365" s="30"/>
      <c r="J365" s="30"/>
      <c r="K365" s="30" t="str">
        <f>IFERROR(VLOOKUP(C365,T_CÓDIGO[#All],3,FALSE),"")</f>
        <v/>
      </c>
      <c r="L365" s="28"/>
      <c r="M365" s="28"/>
      <c r="N365" s="30"/>
    </row>
    <row r="366" spans="1:14" s="2" customFormat="1" ht="15" thickBot="1" x14ac:dyDescent="0.35">
      <c r="A366" s="29"/>
      <c r="B366" s="30">
        <f t="shared" si="5"/>
        <v>1</v>
      </c>
      <c r="C366" s="28"/>
      <c r="D366" s="35" t="str">
        <f>IFERROR(VLOOKUP(C366,T_CÓDIGO[#All],4,FALSE),"")</f>
        <v/>
      </c>
      <c r="E366" s="30" t="str">
        <f>IFERROR(VLOOKUP(C366,T_CÓDIGO[#All],6,FALSE),"")</f>
        <v/>
      </c>
      <c r="F366" s="28"/>
      <c r="G366" s="30"/>
      <c r="H366" s="28"/>
      <c r="I366" s="30"/>
      <c r="J366" s="30"/>
      <c r="K366" s="30" t="str">
        <f>IFERROR(VLOOKUP(C366,T_CÓDIGO[#All],3,FALSE),"")</f>
        <v/>
      </c>
      <c r="L366" s="28"/>
      <c r="M366" s="28"/>
      <c r="N366" s="30"/>
    </row>
    <row r="367" spans="1:14" s="2" customFormat="1" ht="15" thickBot="1" x14ac:dyDescent="0.35">
      <c r="A367" s="29"/>
      <c r="B367" s="30">
        <f t="shared" si="5"/>
        <v>1</v>
      </c>
      <c r="C367" s="28"/>
      <c r="D367" s="35" t="str">
        <f>IFERROR(VLOOKUP(C367,T_CÓDIGO[#All],4,FALSE),"")</f>
        <v/>
      </c>
      <c r="E367" s="30" t="str">
        <f>IFERROR(VLOOKUP(C367,T_CÓDIGO[#All],6,FALSE),"")</f>
        <v/>
      </c>
      <c r="F367" s="28"/>
      <c r="G367" s="30"/>
      <c r="H367" s="28"/>
      <c r="I367" s="30"/>
      <c r="J367" s="30"/>
      <c r="K367" s="30" t="str">
        <f>IFERROR(VLOOKUP(C367,T_CÓDIGO[#All],3,FALSE),"")</f>
        <v/>
      </c>
      <c r="L367" s="28"/>
      <c r="M367" s="28"/>
      <c r="N367" s="30"/>
    </row>
    <row r="368" spans="1:14" s="2" customFormat="1" ht="15" thickBot="1" x14ac:dyDescent="0.35">
      <c r="A368" s="29"/>
      <c r="B368" s="30">
        <f t="shared" si="5"/>
        <v>1</v>
      </c>
      <c r="C368" s="28"/>
      <c r="D368" s="35" t="str">
        <f>IFERROR(VLOOKUP(C368,T_CÓDIGO[#All],4,FALSE),"")</f>
        <v/>
      </c>
      <c r="E368" s="30" t="str">
        <f>IFERROR(VLOOKUP(C368,T_CÓDIGO[#All],6,FALSE),"")</f>
        <v/>
      </c>
      <c r="F368" s="28"/>
      <c r="G368" s="30"/>
      <c r="H368" s="28"/>
      <c r="I368" s="30"/>
      <c r="J368" s="30"/>
      <c r="K368" s="30" t="str">
        <f>IFERROR(VLOOKUP(C368,T_CÓDIGO[#All],3,FALSE),"")</f>
        <v/>
      </c>
      <c r="L368" s="28"/>
      <c r="M368" s="28"/>
      <c r="N368" s="30"/>
    </row>
    <row r="369" spans="1:14" s="2" customFormat="1" ht="15" thickBot="1" x14ac:dyDescent="0.35">
      <c r="A369" s="29"/>
      <c r="B369" s="30">
        <f t="shared" si="5"/>
        <v>1</v>
      </c>
      <c r="C369" s="28"/>
      <c r="D369" s="35" t="str">
        <f>IFERROR(VLOOKUP(C369,T_CÓDIGO[#All],4,FALSE),"")</f>
        <v/>
      </c>
      <c r="E369" s="30" t="str">
        <f>IFERROR(VLOOKUP(C369,T_CÓDIGO[#All],6,FALSE),"")</f>
        <v/>
      </c>
      <c r="F369" s="28"/>
      <c r="G369" s="30"/>
      <c r="H369" s="28"/>
      <c r="I369" s="30"/>
      <c r="J369" s="30"/>
      <c r="K369" s="30" t="str">
        <f>IFERROR(VLOOKUP(C369,T_CÓDIGO[#All],3,FALSE),"")</f>
        <v/>
      </c>
      <c r="L369" s="28"/>
      <c r="M369" s="28"/>
      <c r="N369" s="30"/>
    </row>
    <row r="370" spans="1:14" s="2" customFormat="1" ht="15" thickBot="1" x14ac:dyDescent="0.35">
      <c r="A370" s="29"/>
      <c r="B370" s="30">
        <f t="shared" si="5"/>
        <v>1</v>
      </c>
      <c r="C370" s="28"/>
      <c r="D370" s="35" t="str">
        <f>IFERROR(VLOOKUP(C370,T_CÓDIGO[#All],4,FALSE),"")</f>
        <v/>
      </c>
      <c r="E370" s="30" t="str">
        <f>IFERROR(VLOOKUP(C370,T_CÓDIGO[#All],6,FALSE),"")</f>
        <v/>
      </c>
      <c r="F370" s="28"/>
      <c r="G370" s="30"/>
      <c r="H370" s="28"/>
      <c r="I370" s="30"/>
      <c r="J370" s="30"/>
      <c r="K370" s="30" t="str">
        <f>IFERROR(VLOOKUP(C370,T_CÓDIGO[#All],3,FALSE),"")</f>
        <v/>
      </c>
      <c r="L370" s="28"/>
      <c r="M370" s="28"/>
      <c r="N370" s="30"/>
    </row>
    <row r="371" spans="1:14" s="2" customFormat="1" ht="15" thickBot="1" x14ac:dyDescent="0.35">
      <c r="A371" s="29"/>
      <c r="B371" s="30">
        <f t="shared" si="5"/>
        <v>1</v>
      </c>
      <c r="C371" s="28"/>
      <c r="D371" s="35" t="str">
        <f>IFERROR(VLOOKUP(C371,T_CÓDIGO[#All],4,FALSE),"")</f>
        <v/>
      </c>
      <c r="E371" s="30" t="str">
        <f>IFERROR(VLOOKUP(C371,T_CÓDIGO[#All],6,FALSE),"")</f>
        <v/>
      </c>
      <c r="F371" s="28"/>
      <c r="G371" s="30"/>
      <c r="H371" s="28"/>
      <c r="I371" s="30"/>
      <c r="J371" s="30"/>
      <c r="K371" s="30" t="str">
        <f>IFERROR(VLOOKUP(C371,T_CÓDIGO[#All],3,FALSE),"")</f>
        <v/>
      </c>
      <c r="L371" s="28"/>
      <c r="M371" s="28"/>
      <c r="N371" s="30"/>
    </row>
    <row r="372" spans="1:14" s="2" customFormat="1" ht="15" thickBot="1" x14ac:dyDescent="0.35">
      <c r="A372" s="29"/>
      <c r="B372" s="30">
        <f t="shared" si="5"/>
        <v>1</v>
      </c>
      <c r="C372" s="28"/>
      <c r="D372" s="35" t="str">
        <f>IFERROR(VLOOKUP(C372,T_CÓDIGO[#All],4,FALSE),"")</f>
        <v/>
      </c>
      <c r="E372" s="30" t="str">
        <f>IFERROR(VLOOKUP(C372,T_CÓDIGO[#All],6,FALSE),"")</f>
        <v/>
      </c>
      <c r="F372" s="28"/>
      <c r="G372" s="30"/>
      <c r="H372" s="28"/>
      <c r="I372" s="30"/>
      <c r="J372" s="30"/>
      <c r="K372" s="30" t="str">
        <f>IFERROR(VLOOKUP(C372,T_CÓDIGO[#All],3,FALSE),"")</f>
        <v/>
      </c>
      <c r="L372" s="28"/>
      <c r="M372" s="28"/>
      <c r="N372" s="30"/>
    </row>
    <row r="373" spans="1:14" s="2" customFormat="1" ht="15" thickBot="1" x14ac:dyDescent="0.35">
      <c r="A373" s="29"/>
      <c r="B373" s="30">
        <f t="shared" si="5"/>
        <v>1</v>
      </c>
      <c r="C373" s="28"/>
      <c r="D373" s="35" t="str">
        <f>IFERROR(VLOOKUP(C373,T_CÓDIGO[#All],4,FALSE),"")</f>
        <v/>
      </c>
      <c r="E373" s="30" t="str">
        <f>IFERROR(VLOOKUP(C373,T_CÓDIGO[#All],6,FALSE),"")</f>
        <v/>
      </c>
      <c r="F373" s="28"/>
      <c r="G373" s="30"/>
      <c r="H373" s="28"/>
      <c r="I373" s="30"/>
      <c r="J373" s="30"/>
      <c r="K373" s="30" t="str">
        <f>IFERROR(VLOOKUP(C373,T_CÓDIGO[#All],3,FALSE),"")</f>
        <v/>
      </c>
      <c r="L373" s="28"/>
      <c r="M373" s="28"/>
      <c r="N373" s="30"/>
    </row>
    <row r="374" spans="1:14" s="2" customFormat="1" ht="15" thickBot="1" x14ac:dyDescent="0.35">
      <c r="A374" s="29"/>
      <c r="B374" s="30">
        <f t="shared" si="5"/>
        <v>1</v>
      </c>
      <c r="C374" s="28"/>
      <c r="D374" s="35" t="str">
        <f>IFERROR(VLOOKUP(C374,T_CÓDIGO[#All],4,FALSE),"")</f>
        <v/>
      </c>
      <c r="E374" s="30" t="str">
        <f>IFERROR(VLOOKUP(C374,T_CÓDIGO[#All],6,FALSE),"")</f>
        <v/>
      </c>
      <c r="F374" s="28"/>
      <c r="G374" s="30"/>
      <c r="H374" s="28"/>
      <c r="I374" s="30"/>
      <c r="J374" s="30"/>
      <c r="K374" s="30" t="str">
        <f>IFERROR(VLOOKUP(C374,T_CÓDIGO[#All],3,FALSE),"")</f>
        <v/>
      </c>
      <c r="L374" s="28"/>
      <c r="M374" s="28"/>
      <c r="N374" s="30"/>
    </row>
    <row r="375" spans="1:14" s="2" customFormat="1" ht="15" thickBot="1" x14ac:dyDescent="0.35">
      <c r="A375" s="29"/>
      <c r="B375" s="30">
        <f t="shared" si="5"/>
        <v>1</v>
      </c>
      <c r="C375" s="28"/>
      <c r="D375" s="35" t="str">
        <f>IFERROR(VLOOKUP(C375,T_CÓDIGO[#All],4,FALSE),"")</f>
        <v/>
      </c>
      <c r="E375" s="30" t="str">
        <f>IFERROR(VLOOKUP(C375,T_CÓDIGO[#All],6,FALSE),"")</f>
        <v/>
      </c>
      <c r="F375" s="28"/>
      <c r="G375" s="30"/>
      <c r="H375" s="28"/>
      <c r="I375" s="30"/>
      <c r="J375" s="30"/>
      <c r="K375" s="30" t="str">
        <f>IFERROR(VLOOKUP(C375,T_CÓDIGO[#All],3,FALSE),"")</f>
        <v/>
      </c>
      <c r="L375" s="28"/>
      <c r="M375" s="28"/>
      <c r="N375" s="30"/>
    </row>
    <row r="376" spans="1:14" s="2" customFormat="1" ht="15" thickBot="1" x14ac:dyDescent="0.35">
      <c r="A376" s="29"/>
      <c r="B376" s="30">
        <f t="shared" si="5"/>
        <v>1</v>
      </c>
      <c r="C376" s="28"/>
      <c r="D376" s="35" t="str">
        <f>IFERROR(VLOOKUP(C376,T_CÓDIGO[#All],4,FALSE),"")</f>
        <v/>
      </c>
      <c r="E376" s="30" t="str">
        <f>IFERROR(VLOOKUP(C376,T_CÓDIGO[#All],6,FALSE),"")</f>
        <v/>
      </c>
      <c r="F376" s="28"/>
      <c r="G376" s="30"/>
      <c r="H376" s="28"/>
      <c r="I376" s="30"/>
      <c r="J376" s="30"/>
      <c r="K376" s="30" t="str">
        <f>IFERROR(VLOOKUP(C376,T_CÓDIGO[#All],3,FALSE),"")</f>
        <v/>
      </c>
      <c r="L376" s="28"/>
      <c r="M376" s="28"/>
      <c r="N376" s="30"/>
    </row>
    <row r="377" spans="1:14" s="2" customFormat="1" ht="15" thickBot="1" x14ac:dyDescent="0.35">
      <c r="A377" s="29"/>
      <c r="B377" s="30">
        <f t="shared" si="5"/>
        <v>1</v>
      </c>
      <c r="C377" s="28"/>
      <c r="D377" s="35" t="str">
        <f>IFERROR(VLOOKUP(C377,T_CÓDIGO[#All],4,FALSE),"")</f>
        <v/>
      </c>
      <c r="E377" s="30" t="str">
        <f>IFERROR(VLOOKUP(C377,T_CÓDIGO[#All],6,FALSE),"")</f>
        <v/>
      </c>
      <c r="F377" s="28"/>
      <c r="G377" s="30"/>
      <c r="H377" s="28"/>
      <c r="I377" s="30"/>
      <c r="J377" s="30"/>
      <c r="K377" s="30" t="str">
        <f>IFERROR(VLOOKUP(C377,T_CÓDIGO[#All],3,FALSE),"")</f>
        <v/>
      </c>
      <c r="L377" s="28"/>
      <c r="M377" s="28"/>
      <c r="N377" s="30"/>
    </row>
    <row r="378" spans="1:14" s="2" customFormat="1" ht="15" thickBot="1" x14ac:dyDescent="0.35">
      <c r="A378" s="29"/>
      <c r="B378" s="30">
        <f t="shared" si="5"/>
        <v>1</v>
      </c>
      <c r="C378" s="28"/>
      <c r="D378" s="35" t="str">
        <f>IFERROR(VLOOKUP(C378,T_CÓDIGO[#All],4,FALSE),"")</f>
        <v/>
      </c>
      <c r="E378" s="30" t="str">
        <f>IFERROR(VLOOKUP(C378,T_CÓDIGO[#All],6,FALSE),"")</f>
        <v/>
      </c>
      <c r="F378" s="28"/>
      <c r="G378" s="30"/>
      <c r="H378" s="28"/>
      <c r="I378" s="30"/>
      <c r="J378" s="30"/>
      <c r="K378" s="30" t="str">
        <f>IFERROR(VLOOKUP(C378,T_CÓDIGO[#All],3,FALSE),"")</f>
        <v/>
      </c>
      <c r="L378" s="28"/>
      <c r="M378" s="28"/>
      <c r="N378" s="30"/>
    </row>
    <row r="379" spans="1:14" s="2" customFormat="1" ht="15" thickBot="1" x14ac:dyDescent="0.35">
      <c r="A379" s="29"/>
      <c r="B379" s="30">
        <f t="shared" si="5"/>
        <v>1</v>
      </c>
      <c r="C379" s="28"/>
      <c r="D379" s="35" t="str">
        <f>IFERROR(VLOOKUP(C379,T_CÓDIGO[#All],4,FALSE),"")</f>
        <v/>
      </c>
      <c r="E379" s="30" t="str">
        <f>IFERROR(VLOOKUP(C379,T_CÓDIGO[#All],6,FALSE),"")</f>
        <v/>
      </c>
      <c r="F379" s="28"/>
      <c r="G379" s="30"/>
      <c r="H379" s="28"/>
      <c r="I379" s="30"/>
      <c r="J379" s="30"/>
      <c r="K379" s="30" t="str">
        <f>IFERROR(VLOOKUP(C379,T_CÓDIGO[#All],3,FALSE),"")</f>
        <v/>
      </c>
      <c r="L379" s="28"/>
      <c r="M379" s="28"/>
      <c r="N379" s="30"/>
    </row>
    <row r="380" spans="1:14" s="2" customFormat="1" ht="15" thickBot="1" x14ac:dyDescent="0.35">
      <c r="A380" s="29"/>
      <c r="B380" s="30">
        <f t="shared" si="5"/>
        <v>1</v>
      </c>
      <c r="C380" s="28"/>
      <c r="D380" s="35" t="str">
        <f>IFERROR(VLOOKUP(C380,T_CÓDIGO[#All],4,FALSE),"")</f>
        <v/>
      </c>
      <c r="E380" s="30" t="str">
        <f>IFERROR(VLOOKUP(C380,T_CÓDIGO[#All],6,FALSE),"")</f>
        <v/>
      </c>
      <c r="F380" s="28"/>
      <c r="G380" s="30"/>
      <c r="H380" s="28"/>
      <c r="I380" s="30"/>
      <c r="J380" s="30"/>
      <c r="K380" s="30" t="str">
        <f>IFERROR(VLOOKUP(C380,T_CÓDIGO[#All],3,FALSE),"")</f>
        <v/>
      </c>
      <c r="L380" s="28"/>
      <c r="M380" s="28"/>
      <c r="N380" s="30"/>
    </row>
    <row r="381" spans="1:14" s="2" customFormat="1" ht="15" thickBot="1" x14ac:dyDescent="0.35">
      <c r="A381" s="29"/>
      <c r="B381" s="30">
        <f t="shared" si="5"/>
        <v>1</v>
      </c>
      <c r="C381" s="28"/>
      <c r="D381" s="35" t="str">
        <f>IFERROR(VLOOKUP(C381,T_CÓDIGO[#All],4,FALSE),"")</f>
        <v/>
      </c>
      <c r="E381" s="30" t="str">
        <f>IFERROR(VLOOKUP(C381,T_CÓDIGO[#All],6,FALSE),"")</f>
        <v/>
      </c>
      <c r="F381" s="28"/>
      <c r="G381" s="30"/>
      <c r="H381" s="28"/>
      <c r="I381" s="30"/>
      <c r="J381" s="30"/>
      <c r="K381" s="30" t="str">
        <f>IFERROR(VLOOKUP(C381,T_CÓDIGO[#All],3,FALSE),"")</f>
        <v/>
      </c>
      <c r="L381" s="28"/>
      <c r="M381" s="28"/>
      <c r="N381" s="30"/>
    </row>
    <row r="382" spans="1:14" s="2" customFormat="1" ht="15" thickBot="1" x14ac:dyDescent="0.35">
      <c r="A382" s="29"/>
      <c r="B382" s="30">
        <f t="shared" si="5"/>
        <v>1</v>
      </c>
      <c r="C382" s="28"/>
      <c r="D382" s="35" t="str">
        <f>IFERROR(VLOOKUP(C382,T_CÓDIGO[#All],4,FALSE),"")</f>
        <v/>
      </c>
      <c r="E382" s="30" t="str">
        <f>IFERROR(VLOOKUP(C382,T_CÓDIGO[#All],6,FALSE),"")</f>
        <v/>
      </c>
      <c r="F382" s="28"/>
      <c r="G382" s="30"/>
      <c r="H382" s="28"/>
      <c r="I382" s="30"/>
      <c r="J382" s="30"/>
      <c r="K382" s="30" t="str">
        <f>IFERROR(VLOOKUP(C382,T_CÓDIGO[#All],3,FALSE),"")</f>
        <v/>
      </c>
      <c r="L382" s="28"/>
      <c r="M382" s="28"/>
      <c r="N382" s="30"/>
    </row>
    <row r="383" spans="1:14" s="2" customFormat="1" ht="15" thickBot="1" x14ac:dyDescent="0.35">
      <c r="A383" s="29"/>
      <c r="B383" s="30">
        <f t="shared" si="5"/>
        <v>1</v>
      </c>
      <c r="C383" s="28"/>
      <c r="D383" s="35" t="str">
        <f>IFERROR(VLOOKUP(C383,T_CÓDIGO[#All],4,FALSE),"")</f>
        <v/>
      </c>
      <c r="E383" s="30" t="str">
        <f>IFERROR(VLOOKUP(C383,T_CÓDIGO[#All],6,FALSE),"")</f>
        <v/>
      </c>
      <c r="F383" s="28"/>
      <c r="G383" s="30"/>
      <c r="H383" s="28"/>
      <c r="I383" s="30"/>
      <c r="J383" s="30"/>
      <c r="K383" s="30" t="str">
        <f>IFERROR(VLOOKUP(C383,T_CÓDIGO[#All],3,FALSE),"")</f>
        <v/>
      </c>
      <c r="L383" s="28"/>
      <c r="M383" s="28"/>
      <c r="N383" s="30"/>
    </row>
    <row r="384" spans="1:14" s="2" customFormat="1" ht="15" thickBot="1" x14ac:dyDescent="0.35">
      <c r="A384" s="29"/>
      <c r="B384" s="30">
        <f t="shared" si="5"/>
        <v>1</v>
      </c>
      <c r="C384" s="28"/>
      <c r="D384" s="35" t="str">
        <f>IFERROR(VLOOKUP(C384,T_CÓDIGO[#All],4,FALSE),"")</f>
        <v/>
      </c>
      <c r="E384" s="30" t="str">
        <f>IFERROR(VLOOKUP(C384,T_CÓDIGO[#All],6,FALSE),"")</f>
        <v/>
      </c>
      <c r="F384" s="28"/>
      <c r="G384" s="30"/>
      <c r="H384" s="28"/>
      <c r="I384" s="30"/>
      <c r="J384" s="30"/>
      <c r="K384" s="30" t="str">
        <f>IFERROR(VLOOKUP(C384,T_CÓDIGO[#All],3,FALSE),"")</f>
        <v/>
      </c>
      <c r="L384" s="28"/>
      <c r="M384" s="28"/>
      <c r="N384" s="30"/>
    </row>
    <row r="385" spans="1:14" s="2" customFormat="1" ht="15" thickBot="1" x14ac:dyDescent="0.35">
      <c r="A385" s="29"/>
      <c r="B385" s="30">
        <f t="shared" si="5"/>
        <v>1</v>
      </c>
      <c r="C385" s="28"/>
      <c r="D385" s="35" t="str">
        <f>IFERROR(VLOOKUP(C385,T_CÓDIGO[#All],4,FALSE),"")</f>
        <v/>
      </c>
      <c r="E385" s="30" t="str">
        <f>IFERROR(VLOOKUP(C385,T_CÓDIGO[#All],6,FALSE),"")</f>
        <v/>
      </c>
      <c r="F385" s="28"/>
      <c r="G385" s="30"/>
      <c r="H385" s="28"/>
      <c r="I385" s="30"/>
      <c r="J385" s="30"/>
      <c r="K385" s="30" t="str">
        <f>IFERROR(VLOOKUP(C385,T_CÓDIGO[#All],3,FALSE),"")</f>
        <v/>
      </c>
      <c r="L385" s="28"/>
      <c r="M385" s="28"/>
      <c r="N385" s="30"/>
    </row>
    <row r="386" spans="1:14" s="2" customFormat="1" ht="15" thickBot="1" x14ac:dyDescent="0.35">
      <c r="A386" s="29"/>
      <c r="B386" s="30">
        <f t="shared" si="5"/>
        <v>1</v>
      </c>
      <c r="C386" s="28"/>
      <c r="D386" s="35" t="str">
        <f>IFERROR(VLOOKUP(C386,T_CÓDIGO[#All],4,FALSE),"")</f>
        <v/>
      </c>
      <c r="E386" s="30" t="str">
        <f>IFERROR(VLOOKUP(C386,T_CÓDIGO[#All],6,FALSE),"")</f>
        <v/>
      </c>
      <c r="F386" s="28"/>
      <c r="G386" s="30"/>
      <c r="H386" s="28"/>
      <c r="I386" s="30"/>
      <c r="J386" s="30"/>
      <c r="K386" s="30" t="str">
        <f>IFERROR(VLOOKUP(C386,T_CÓDIGO[#All],3,FALSE),"")</f>
        <v/>
      </c>
      <c r="L386" s="28"/>
      <c r="M386" s="28"/>
      <c r="N386" s="30"/>
    </row>
    <row r="387" spans="1:14" s="2" customFormat="1" ht="15" thickBot="1" x14ac:dyDescent="0.35">
      <c r="A387" s="29"/>
      <c r="B387" s="30">
        <f t="shared" si="5"/>
        <v>1</v>
      </c>
      <c r="C387" s="28"/>
      <c r="D387" s="35" t="str">
        <f>IFERROR(VLOOKUP(C387,T_CÓDIGO[#All],4,FALSE),"")</f>
        <v/>
      </c>
      <c r="E387" s="30" t="str">
        <f>IFERROR(VLOOKUP(C387,T_CÓDIGO[#All],6,FALSE),"")</f>
        <v/>
      </c>
      <c r="F387" s="28"/>
      <c r="G387" s="30"/>
      <c r="H387" s="28"/>
      <c r="I387" s="30"/>
      <c r="J387" s="30"/>
      <c r="K387" s="30" t="str">
        <f>IFERROR(VLOOKUP(C387,T_CÓDIGO[#All],3,FALSE),"")</f>
        <v/>
      </c>
      <c r="L387" s="28"/>
      <c r="M387" s="28"/>
      <c r="N387" s="30"/>
    </row>
    <row r="388" spans="1:14" s="2" customFormat="1" ht="15" thickBot="1" x14ac:dyDescent="0.35">
      <c r="A388" s="29"/>
      <c r="B388" s="30">
        <f t="shared" si="5"/>
        <v>1</v>
      </c>
      <c r="C388" s="28"/>
      <c r="D388" s="35" t="str">
        <f>IFERROR(VLOOKUP(C388,T_CÓDIGO[#All],4,FALSE),"")</f>
        <v/>
      </c>
      <c r="E388" s="30" t="str">
        <f>IFERROR(VLOOKUP(C388,T_CÓDIGO[#All],6,FALSE),"")</f>
        <v/>
      </c>
      <c r="F388" s="28"/>
      <c r="G388" s="30"/>
      <c r="H388" s="28"/>
      <c r="I388" s="30"/>
      <c r="J388" s="30"/>
      <c r="K388" s="30" t="str">
        <f>IFERROR(VLOOKUP(C388,T_CÓDIGO[#All],3,FALSE),"")</f>
        <v/>
      </c>
      <c r="L388" s="28"/>
      <c r="M388" s="28"/>
      <c r="N388" s="30"/>
    </row>
    <row r="389" spans="1:14" s="2" customFormat="1" ht="15" thickBot="1" x14ac:dyDescent="0.35">
      <c r="A389" s="29"/>
      <c r="B389" s="30">
        <f t="shared" si="5"/>
        <v>1</v>
      </c>
      <c r="C389" s="28"/>
      <c r="D389" s="35" t="str">
        <f>IFERROR(VLOOKUP(C389,T_CÓDIGO[#All],4,FALSE),"")</f>
        <v/>
      </c>
      <c r="E389" s="30" t="str">
        <f>IFERROR(VLOOKUP(C389,T_CÓDIGO[#All],6,FALSE),"")</f>
        <v/>
      </c>
      <c r="F389" s="28"/>
      <c r="G389" s="30"/>
      <c r="H389" s="28"/>
      <c r="I389" s="30"/>
      <c r="J389" s="30"/>
      <c r="K389" s="30" t="str">
        <f>IFERROR(VLOOKUP(C389,T_CÓDIGO[#All],3,FALSE),"")</f>
        <v/>
      </c>
      <c r="L389" s="28"/>
      <c r="M389" s="28"/>
      <c r="N389" s="30"/>
    </row>
    <row r="390" spans="1:14" s="2" customFormat="1" ht="15" thickBot="1" x14ac:dyDescent="0.35">
      <c r="A390" s="29"/>
      <c r="B390" s="30">
        <f t="shared" si="5"/>
        <v>1</v>
      </c>
      <c r="C390" s="28"/>
      <c r="D390" s="35" t="str">
        <f>IFERROR(VLOOKUP(C390,T_CÓDIGO[#All],4,FALSE),"")</f>
        <v/>
      </c>
      <c r="E390" s="30" t="str">
        <f>IFERROR(VLOOKUP(C390,T_CÓDIGO[#All],6,FALSE),"")</f>
        <v/>
      </c>
      <c r="F390" s="28"/>
      <c r="G390" s="30"/>
      <c r="H390" s="28"/>
      <c r="I390" s="30"/>
      <c r="J390" s="30"/>
      <c r="K390" s="30" t="str">
        <f>IFERROR(VLOOKUP(C390,T_CÓDIGO[#All],3,FALSE),"")</f>
        <v/>
      </c>
      <c r="L390" s="28"/>
      <c r="M390" s="28"/>
      <c r="N390" s="30"/>
    </row>
    <row r="391" spans="1:14" s="2" customFormat="1" ht="15" thickBot="1" x14ac:dyDescent="0.35">
      <c r="A391" s="29"/>
      <c r="B391" s="30">
        <f t="shared" si="5"/>
        <v>1</v>
      </c>
      <c r="C391" s="28"/>
      <c r="D391" s="35" t="str">
        <f>IFERROR(VLOOKUP(C391,T_CÓDIGO[#All],4,FALSE),"")</f>
        <v/>
      </c>
      <c r="E391" s="30" t="str">
        <f>IFERROR(VLOOKUP(C391,T_CÓDIGO[#All],6,FALSE),"")</f>
        <v/>
      </c>
      <c r="F391" s="28"/>
      <c r="G391" s="30"/>
      <c r="H391" s="28"/>
      <c r="I391" s="30"/>
      <c r="J391" s="30"/>
      <c r="K391" s="30" t="str">
        <f>IFERROR(VLOOKUP(C391,T_CÓDIGO[#All],3,FALSE),"")</f>
        <v/>
      </c>
      <c r="L391" s="28"/>
      <c r="M391" s="28"/>
      <c r="N391" s="30"/>
    </row>
    <row r="392" spans="1:14" s="2" customFormat="1" ht="15" thickBot="1" x14ac:dyDescent="0.35">
      <c r="A392" s="29"/>
      <c r="B392" s="30">
        <f t="shared" si="5"/>
        <v>1</v>
      </c>
      <c r="C392" s="28"/>
      <c r="D392" s="35" t="str">
        <f>IFERROR(VLOOKUP(C392,T_CÓDIGO[#All],4,FALSE),"")</f>
        <v/>
      </c>
      <c r="E392" s="30" t="str">
        <f>IFERROR(VLOOKUP(C392,T_CÓDIGO[#All],6,FALSE),"")</f>
        <v/>
      </c>
      <c r="F392" s="28"/>
      <c r="G392" s="30"/>
      <c r="H392" s="28"/>
      <c r="I392" s="30"/>
      <c r="J392" s="30"/>
      <c r="K392" s="30" t="str">
        <f>IFERROR(VLOOKUP(C392,T_CÓDIGO[#All],3,FALSE),"")</f>
        <v/>
      </c>
      <c r="L392" s="28"/>
      <c r="M392" s="28"/>
      <c r="N392" s="30"/>
    </row>
    <row r="393" spans="1:14" s="2" customFormat="1" ht="15" thickBot="1" x14ac:dyDescent="0.35">
      <c r="A393" s="29"/>
      <c r="B393" s="30">
        <f t="shared" si="5"/>
        <v>1</v>
      </c>
      <c r="C393" s="28"/>
      <c r="D393" s="35" t="str">
        <f>IFERROR(VLOOKUP(C393,T_CÓDIGO[#All],4,FALSE),"")</f>
        <v/>
      </c>
      <c r="E393" s="30" t="str">
        <f>IFERROR(VLOOKUP(C393,T_CÓDIGO[#All],6,FALSE),"")</f>
        <v/>
      </c>
      <c r="F393" s="28"/>
      <c r="G393" s="30"/>
      <c r="H393" s="28"/>
      <c r="I393" s="30"/>
      <c r="J393" s="30"/>
      <c r="K393" s="30" t="str">
        <f>IFERROR(VLOOKUP(C393,T_CÓDIGO[#All],3,FALSE),"")</f>
        <v/>
      </c>
      <c r="L393" s="28"/>
      <c r="M393" s="28"/>
      <c r="N393" s="30"/>
    </row>
    <row r="394" spans="1:14" s="2" customFormat="1" ht="15" thickBot="1" x14ac:dyDescent="0.35">
      <c r="A394" s="29"/>
      <c r="B394" s="30">
        <f t="shared" ref="B394:B457" si="6">MONTH(A394)</f>
        <v>1</v>
      </c>
      <c r="C394" s="28"/>
      <c r="D394" s="35" t="str">
        <f>IFERROR(VLOOKUP(C394,T_CÓDIGO[#All],4,FALSE),"")</f>
        <v/>
      </c>
      <c r="E394" s="30" t="str">
        <f>IFERROR(VLOOKUP(C394,T_CÓDIGO[#All],6,FALSE),"")</f>
        <v/>
      </c>
      <c r="F394" s="28"/>
      <c r="G394" s="30"/>
      <c r="H394" s="28"/>
      <c r="I394" s="30"/>
      <c r="J394" s="30"/>
      <c r="K394" s="30" t="str">
        <f>IFERROR(VLOOKUP(C394,T_CÓDIGO[#All],3,FALSE),"")</f>
        <v/>
      </c>
      <c r="L394" s="28"/>
      <c r="M394" s="28"/>
      <c r="N394" s="30"/>
    </row>
    <row r="395" spans="1:14" s="2" customFormat="1" ht="15" thickBot="1" x14ac:dyDescent="0.35">
      <c r="A395" s="29"/>
      <c r="B395" s="30">
        <f t="shared" si="6"/>
        <v>1</v>
      </c>
      <c r="C395" s="28"/>
      <c r="D395" s="35" t="str">
        <f>IFERROR(VLOOKUP(C395,T_CÓDIGO[#All],4,FALSE),"")</f>
        <v/>
      </c>
      <c r="E395" s="30" t="str">
        <f>IFERROR(VLOOKUP(C395,T_CÓDIGO[#All],6,FALSE),"")</f>
        <v/>
      </c>
      <c r="F395" s="28"/>
      <c r="G395" s="30"/>
      <c r="H395" s="28"/>
      <c r="I395" s="30"/>
      <c r="J395" s="30"/>
      <c r="K395" s="30" t="str">
        <f>IFERROR(VLOOKUP(C395,T_CÓDIGO[#All],3,FALSE),"")</f>
        <v/>
      </c>
      <c r="L395" s="28"/>
      <c r="M395" s="28"/>
      <c r="N395" s="30"/>
    </row>
    <row r="396" spans="1:14" s="2" customFormat="1" ht="15" thickBot="1" x14ac:dyDescent="0.35">
      <c r="A396" s="29"/>
      <c r="B396" s="30">
        <f t="shared" si="6"/>
        <v>1</v>
      </c>
      <c r="C396" s="28"/>
      <c r="D396" s="35" t="str">
        <f>IFERROR(VLOOKUP(C396,T_CÓDIGO[#All],4,FALSE),"")</f>
        <v/>
      </c>
      <c r="E396" s="30" t="str">
        <f>IFERROR(VLOOKUP(C396,T_CÓDIGO[#All],6,FALSE),"")</f>
        <v/>
      </c>
      <c r="F396" s="28"/>
      <c r="G396" s="30"/>
      <c r="H396" s="28"/>
      <c r="I396" s="30"/>
      <c r="J396" s="30"/>
      <c r="K396" s="30" t="str">
        <f>IFERROR(VLOOKUP(C396,T_CÓDIGO[#All],3,FALSE),"")</f>
        <v/>
      </c>
      <c r="L396" s="28"/>
      <c r="M396" s="28"/>
      <c r="N396" s="30"/>
    </row>
    <row r="397" spans="1:14" s="2" customFormat="1" ht="15" thickBot="1" x14ac:dyDescent="0.35">
      <c r="A397" s="29"/>
      <c r="B397" s="30">
        <f t="shared" si="6"/>
        <v>1</v>
      </c>
      <c r="C397" s="28"/>
      <c r="D397" s="35" t="str">
        <f>IFERROR(VLOOKUP(C397,T_CÓDIGO[#All],4,FALSE),"")</f>
        <v/>
      </c>
      <c r="E397" s="30" t="str">
        <f>IFERROR(VLOOKUP(C397,T_CÓDIGO[#All],6,FALSE),"")</f>
        <v/>
      </c>
      <c r="F397" s="28"/>
      <c r="G397" s="30"/>
      <c r="H397" s="28"/>
      <c r="I397" s="30"/>
      <c r="J397" s="30"/>
      <c r="K397" s="30" t="str">
        <f>IFERROR(VLOOKUP(C397,T_CÓDIGO[#All],3,FALSE),"")</f>
        <v/>
      </c>
      <c r="L397" s="28"/>
      <c r="M397" s="28"/>
      <c r="N397" s="30"/>
    </row>
    <row r="398" spans="1:14" s="2" customFormat="1" ht="15" thickBot="1" x14ac:dyDescent="0.35">
      <c r="A398" s="29"/>
      <c r="B398" s="30">
        <f t="shared" si="6"/>
        <v>1</v>
      </c>
      <c r="C398" s="28"/>
      <c r="D398" s="35" t="str">
        <f>IFERROR(VLOOKUP(C398,T_CÓDIGO[#All],4,FALSE),"")</f>
        <v/>
      </c>
      <c r="E398" s="30" t="str">
        <f>IFERROR(VLOOKUP(C398,T_CÓDIGO[#All],6,FALSE),"")</f>
        <v/>
      </c>
      <c r="F398" s="28"/>
      <c r="G398" s="30"/>
      <c r="H398" s="28"/>
      <c r="I398" s="30"/>
      <c r="J398" s="30"/>
      <c r="K398" s="30" t="str">
        <f>IFERROR(VLOOKUP(C398,T_CÓDIGO[#All],3,FALSE),"")</f>
        <v/>
      </c>
      <c r="L398" s="28"/>
      <c r="M398" s="28"/>
      <c r="N398" s="30"/>
    </row>
    <row r="399" spans="1:14" s="2" customFormat="1" ht="15" thickBot="1" x14ac:dyDescent="0.35">
      <c r="A399" s="29"/>
      <c r="B399" s="30">
        <f t="shared" si="6"/>
        <v>1</v>
      </c>
      <c r="C399" s="28"/>
      <c r="D399" s="35" t="str">
        <f>IFERROR(VLOOKUP(C399,T_CÓDIGO[#All],4,FALSE),"")</f>
        <v/>
      </c>
      <c r="E399" s="30" t="str">
        <f>IFERROR(VLOOKUP(C399,T_CÓDIGO[#All],6,FALSE),"")</f>
        <v/>
      </c>
      <c r="F399" s="28"/>
      <c r="G399" s="30"/>
      <c r="H399" s="28"/>
      <c r="I399" s="30"/>
      <c r="J399" s="30"/>
      <c r="K399" s="30" t="str">
        <f>IFERROR(VLOOKUP(C399,T_CÓDIGO[#All],3,FALSE),"")</f>
        <v/>
      </c>
      <c r="L399" s="28"/>
      <c r="M399" s="28"/>
      <c r="N399" s="30"/>
    </row>
    <row r="400" spans="1:14" s="2" customFormat="1" ht="15" thickBot="1" x14ac:dyDescent="0.35">
      <c r="A400" s="29"/>
      <c r="B400" s="30">
        <f t="shared" si="6"/>
        <v>1</v>
      </c>
      <c r="C400" s="28"/>
      <c r="D400" s="35" t="str">
        <f>IFERROR(VLOOKUP(C400,T_CÓDIGO[#All],4,FALSE),"")</f>
        <v/>
      </c>
      <c r="E400" s="30" t="str">
        <f>IFERROR(VLOOKUP(C400,T_CÓDIGO[#All],6,FALSE),"")</f>
        <v/>
      </c>
      <c r="F400" s="28"/>
      <c r="G400" s="30"/>
      <c r="H400" s="28"/>
      <c r="I400" s="30"/>
      <c r="J400" s="30"/>
      <c r="K400" s="30" t="str">
        <f>IFERROR(VLOOKUP(C400,T_CÓDIGO[#All],3,FALSE),"")</f>
        <v/>
      </c>
      <c r="L400" s="28"/>
      <c r="M400" s="28"/>
      <c r="N400" s="30"/>
    </row>
    <row r="401" spans="1:14" s="2" customFormat="1" ht="15" thickBot="1" x14ac:dyDescent="0.35">
      <c r="A401" s="29"/>
      <c r="B401" s="30">
        <f t="shared" si="6"/>
        <v>1</v>
      </c>
      <c r="C401" s="28"/>
      <c r="D401" s="35" t="str">
        <f>IFERROR(VLOOKUP(C401,T_CÓDIGO[#All],4,FALSE),"")</f>
        <v/>
      </c>
      <c r="E401" s="30" t="str">
        <f>IFERROR(VLOOKUP(C401,T_CÓDIGO[#All],6,FALSE),"")</f>
        <v/>
      </c>
      <c r="F401" s="28"/>
      <c r="G401" s="30"/>
      <c r="H401" s="28"/>
      <c r="I401" s="30"/>
      <c r="J401" s="30"/>
      <c r="K401" s="30" t="str">
        <f>IFERROR(VLOOKUP(C401,T_CÓDIGO[#All],3,FALSE),"")</f>
        <v/>
      </c>
      <c r="L401" s="28"/>
      <c r="M401" s="28"/>
      <c r="N401" s="30"/>
    </row>
    <row r="402" spans="1:14" s="2" customFormat="1" ht="15" thickBot="1" x14ac:dyDescent="0.35">
      <c r="A402" s="29"/>
      <c r="B402" s="30">
        <f t="shared" si="6"/>
        <v>1</v>
      </c>
      <c r="C402" s="28"/>
      <c r="D402" s="35" t="str">
        <f>IFERROR(VLOOKUP(C402,T_CÓDIGO[#All],4,FALSE),"")</f>
        <v/>
      </c>
      <c r="E402" s="30" t="str">
        <f>IFERROR(VLOOKUP(C402,T_CÓDIGO[#All],6,FALSE),"")</f>
        <v/>
      </c>
      <c r="F402" s="28"/>
      <c r="G402" s="30"/>
      <c r="H402" s="28"/>
      <c r="I402" s="30"/>
      <c r="J402" s="30"/>
      <c r="K402" s="30" t="str">
        <f>IFERROR(VLOOKUP(C402,T_CÓDIGO[#All],3,FALSE),"")</f>
        <v/>
      </c>
      <c r="L402" s="28"/>
      <c r="M402" s="28"/>
      <c r="N402" s="30"/>
    </row>
    <row r="403" spans="1:14" s="2" customFormat="1" ht="15" thickBot="1" x14ac:dyDescent="0.35">
      <c r="A403" s="29"/>
      <c r="B403" s="30">
        <f t="shared" si="6"/>
        <v>1</v>
      </c>
      <c r="C403" s="28"/>
      <c r="D403" s="35" t="str">
        <f>IFERROR(VLOOKUP(C403,T_CÓDIGO[#All],4,FALSE),"")</f>
        <v/>
      </c>
      <c r="E403" s="30" t="str">
        <f>IFERROR(VLOOKUP(C403,T_CÓDIGO[#All],6,FALSE),"")</f>
        <v/>
      </c>
      <c r="F403" s="28"/>
      <c r="G403" s="30"/>
      <c r="H403" s="28"/>
      <c r="I403" s="30"/>
      <c r="J403" s="30"/>
      <c r="K403" s="30" t="str">
        <f>IFERROR(VLOOKUP(C403,T_CÓDIGO[#All],3,FALSE),"")</f>
        <v/>
      </c>
      <c r="L403" s="28"/>
      <c r="M403" s="28"/>
      <c r="N403" s="30"/>
    </row>
    <row r="404" spans="1:14" s="2" customFormat="1" ht="15" thickBot="1" x14ac:dyDescent="0.35">
      <c r="A404" s="29"/>
      <c r="B404" s="30">
        <f t="shared" si="6"/>
        <v>1</v>
      </c>
      <c r="C404" s="28"/>
      <c r="D404" s="35" t="str">
        <f>IFERROR(VLOOKUP(C404,T_CÓDIGO[#All],4,FALSE),"")</f>
        <v/>
      </c>
      <c r="E404" s="30" t="str">
        <f>IFERROR(VLOOKUP(C404,T_CÓDIGO[#All],6,FALSE),"")</f>
        <v/>
      </c>
      <c r="F404" s="28"/>
      <c r="G404" s="30"/>
      <c r="H404" s="28"/>
      <c r="I404" s="30"/>
      <c r="J404" s="30"/>
      <c r="K404" s="30" t="str">
        <f>IFERROR(VLOOKUP(C404,T_CÓDIGO[#All],3,FALSE),"")</f>
        <v/>
      </c>
      <c r="L404" s="28"/>
      <c r="M404" s="28"/>
      <c r="N404" s="30"/>
    </row>
    <row r="405" spans="1:14" s="2" customFormat="1" ht="15" thickBot="1" x14ac:dyDescent="0.35">
      <c r="A405" s="29"/>
      <c r="B405" s="30">
        <f t="shared" si="6"/>
        <v>1</v>
      </c>
      <c r="C405" s="28"/>
      <c r="D405" s="35" t="str">
        <f>IFERROR(VLOOKUP(C405,T_CÓDIGO[#All],4,FALSE),"")</f>
        <v/>
      </c>
      <c r="E405" s="30" t="str">
        <f>IFERROR(VLOOKUP(C405,T_CÓDIGO[#All],6,FALSE),"")</f>
        <v/>
      </c>
      <c r="F405" s="28"/>
      <c r="G405" s="30"/>
      <c r="H405" s="28"/>
      <c r="I405" s="30"/>
      <c r="J405" s="30"/>
      <c r="K405" s="30" t="str">
        <f>IFERROR(VLOOKUP(C405,T_CÓDIGO[#All],3,FALSE),"")</f>
        <v/>
      </c>
      <c r="L405" s="28"/>
      <c r="M405" s="28"/>
      <c r="N405" s="30"/>
    </row>
    <row r="406" spans="1:14" s="2" customFormat="1" ht="15" thickBot="1" x14ac:dyDescent="0.35">
      <c r="A406" s="29"/>
      <c r="B406" s="30">
        <f t="shared" si="6"/>
        <v>1</v>
      </c>
      <c r="C406" s="28"/>
      <c r="D406" s="35" t="str">
        <f>IFERROR(VLOOKUP(C406,T_CÓDIGO[#All],4,FALSE),"")</f>
        <v/>
      </c>
      <c r="E406" s="30" t="str">
        <f>IFERROR(VLOOKUP(C406,T_CÓDIGO[#All],6,FALSE),"")</f>
        <v/>
      </c>
      <c r="F406" s="28"/>
      <c r="G406" s="30"/>
      <c r="H406" s="28"/>
      <c r="I406" s="30"/>
      <c r="J406" s="30"/>
      <c r="K406" s="30" t="str">
        <f>IFERROR(VLOOKUP(C406,T_CÓDIGO[#All],3,FALSE),"")</f>
        <v/>
      </c>
      <c r="L406" s="28"/>
      <c r="M406" s="28"/>
      <c r="N406" s="30"/>
    </row>
    <row r="407" spans="1:14" s="2" customFormat="1" ht="15" thickBot="1" x14ac:dyDescent="0.35">
      <c r="A407" s="29"/>
      <c r="B407" s="30">
        <f t="shared" si="6"/>
        <v>1</v>
      </c>
      <c r="C407" s="28"/>
      <c r="D407" s="35" t="str">
        <f>IFERROR(VLOOKUP(C407,T_CÓDIGO[#All],4,FALSE),"")</f>
        <v/>
      </c>
      <c r="E407" s="30" t="str">
        <f>IFERROR(VLOOKUP(C407,T_CÓDIGO[#All],6,FALSE),"")</f>
        <v/>
      </c>
      <c r="F407" s="28"/>
      <c r="G407" s="30"/>
      <c r="H407" s="28"/>
      <c r="I407" s="30"/>
      <c r="J407" s="30"/>
      <c r="K407" s="30" t="str">
        <f>IFERROR(VLOOKUP(C407,T_CÓDIGO[#All],3,FALSE),"")</f>
        <v/>
      </c>
      <c r="L407" s="28"/>
      <c r="M407" s="28"/>
      <c r="N407" s="30"/>
    </row>
    <row r="408" spans="1:14" s="2" customFormat="1" ht="15" thickBot="1" x14ac:dyDescent="0.35">
      <c r="A408" s="29"/>
      <c r="B408" s="30">
        <f t="shared" si="6"/>
        <v>1</v>
      </c>
      <c r="C408" s="28"/>
      <c r="D408" s="35" t="str">
        <f>IFERROR(VLOOKUP(C408,T_CÓDIGO[#All],4,FALSE),"")</f>
        <v/>
      </c>
      <c r="E408" s="30" t="str">
        <f>IFERROR(VLOOKUP(C408,T_CÓDIGO[#All],6,FALSE),"")</f>
        <v/>
      </c>
      <c r="F408" s="28"/>
      <c r="G408" s="30"/>
      <c r="H408" s="28"/>
      <c r="I408" s="30"/>
      <c r="J408" s="30"/>
      <c r="K408" s="30" t="str">
        <f>IFERROR(VLOOKUP(C408,T_CÓDIGO[#All],3,FALSE),"")</f>
        <v/>
      </c>
      <c r="L408" s="28"/>
      <c r="M408" s="28"/>
      <c r="N408" s="30"/>
    </row>
    <row r="409" spans="1:14" s="2" customFormat="1" ht="15" thickBot="1" x14ac:dyDescent="0.35">
      <c r="A409" s="29"/>
      <c r="B409" s="30">
        <f t="shared" si="6"/>
        <v>1</v>
      </c>
      <c r="C409" s="28"/>
      <c r="D409" s="35" t="str">
        <f>IFERROR(VLOOKUP(C409,T_CÓDIGO[#All],4,FALSE),"")</f>
        <v/>
      </c>
      <c r="E409" s="30" t="str">
        <f>IFERROR(VLOOKUP(C409,T_CÓDIGO[#All],6,FALSE),"")</f>
        <v/>
      </c>
      <c r="F409" s="28"/>
      <c r="G409" s="30"/>
      <c r="H409" s="28"/>
      <c r="I409" s="30"/>
      <c r="J409" s="30"/>
      <c r="K409" s="30" t="str">
        <f>IFERROR(VLOOKUP(C409,T_CÓDIGO[#All],3,FALSE),"")</f>
        <v/>
      </c>
      <c r="L409" s="28"/>
      <c r="M409" s="28"/>
      <c r="N409" s="30"/>
    </row>
    <row r="410" spans="1:14" s="2" customFormat="1" ht="15" thickBot="1" x14ac:dyDescent="0.35">
      <c r="A410" s="29"/>
      <c r="B410" s="30">
        <f t="shared" si="6"/>
        <v>1</v>
      </c>
      <c r="C410" s="28"/>
      <c r="D410" s="35" t="str">
        <f>IFERROR(VLOOKUP(C410,T_CÓDIGO[#All],4,FALSE),"")</f>
        <v/>
      </c>
      <c r="E410" s="30" t="str">
        <f>IFERROR(VLOOKUP(C410,T_CÓDIGO[#All],6,FALSE),"")</f>
        <v/>
      </c>
      <c r="F410" s="28"/>
      <c r="G410" s="30"/>
      <c r="H410" s="28"/>
      <c r="I410" s="30"/>
      <c r="J410" s="30"/>
      <c r="K410" s="30" t="str">
        <f>IFERROR(VLOOKUP(C410,T_CÓDIGO[#All],3,FALSE),"")</f>
        <v/>
      </c>
      <c r="L410" s="28"/>
      <c r="M410" s="28"/>
      <c r="N410" s="30"/>
    </row>
    <row r="411" spans="1:14" s="2" customFormat="1" ht="15" thickBot="1" x14ac:dyDescent="0.35">
      <c r="A411" s="29"/>
      <c r="B411" s="30">
        <f t="shared" si="6"/>
        <v>1</v>
      </c>
      <c r="C411" s="28"/>
      <c r="D411" s="35" t="str">
        <f>IFERROR(VLOOKUP(C411,T_CÓDIGO[#All],4,FALSE),"")</f>
        <v/>
      </c>
      <c r="E411" s="30" t="str">
        <f>IFERROR(VLOOKUP(C411,T_CÓDIGO[#All],6,FALSE),"")</f>
        <v/>
      </c>
      <c r="F411" s="28"/>
      <c r="G411" s="30"/>
      <c r="H411" s="28"/>
      <c r="I411" s="30"/>
      <c r="J411" s="30"/>
      <c r="K411" s="30" t="str">
        <f>IFERROR(VLOOKUP(C411,T_CÓDIGO[#All],3,FALSE),"")</f>
        <v/>
      </c>
      <c r="L411" s="28"/>
      <c r="M411" s="28"/>
      <c r="N411" s="30"/>
    </row>
    <row r="412" spans="1:14" s="2" customFormat="1" ht="15" thickBot="1" x14ac:dyDescent="0.35">
      <c r="A412" s="29"/>
      <c r="B412" s="30">
        <f t="shared" si="6"/>
        <v>1</v>
      </c>
      <c r="C412" s="28"/>
      <c r="D412" s="35" t="str">
        <f>IFERROR(VLOOKUP(C412,T_CÓDIGO[#All],4,FALSE),"")</f>
        <v/>
      </c>
      <c r="E412" s="30" t="str">
        <f>IFERROR(VLOOKUP(C412,T_CÓDIGO[#All],6,FALSE),"")</f>
        <v/>
      </c>
      <c r="F412" s="28"/>
      <c r="G412" s="30"/>
      <c r="H412" s="28"/>
      <c r="I412" s="30"/>
      <c r="J412" s="30"/>
      <c r="K412" s="30" t="str">
        <f>IFERROR(VLOOKUP(C412,T_CÓDIGO[#All],3,FALSE),"")</f>
        <v/>
      </c>
      <c r="L412" s="28"/>
      <c r="M412" s="28"/>
      <c r="N412" s="30"/>
    </row>
    <row r="413" spans="1:14" s="2" customFormat="1" ht="15" thickBot="1" x14ac:dyDescent="0.35">
      <c r="A413" s="29"/>
      <c r="B413" s="30">
        <f t="shared" si="6"/>
        <v>1</v>
      </c>
      <c r="C413" s="28"/>
      <c r="D413" s="35" t="str">
        <f>IFERROR(VLOOKUP(C413,T_CÓDIGO[#All],4,FALSE),"")</f>
        <v/>
      </c>
      <c r="E413" s="30" t="str">
        <f>IFERROR(VLOOKUP(C413,T_CÓDIGO[#All],6,FALSE),"")</f>
        <v/>
      </c>
      <c r="F413" s="28"/>
      <c r="G413" s="30"/>
      <c r="H413" s="28"/>
      <c r="I413" s="30"/>
      <c r="J413" s="30"/>
      <c r="K413" s="30" t="str">
        <f>IFERROR(VLOOKUP(C413,T_CÓDIGO[#All],3,FALSE),"")</f>
        <v/>
      </c>
      <c r="L413" s="28"/>
      <c r="M413" s="28"/>
      <c r="N413" s="30"/>
    </row>
    <row r="414" spans="1:14" s="2" customFormat="1" ht="15" thickBot="1" x14ac:dyDescent="0.35">
      <c r="A414" s="29"/>
      <c r="B414" s="30">
        <f t="shared" si="6"/>
        <v>1</v>
      </c>
      <c r="C414" s="28"/>
      <c r="D414" s="35" t="str">
        <f>IFERROR(VLOOKUP(C414,T_CÓDIGO[#All],4,FALSE),"")</f>
        <v/>
      </c>
      <c r="E414" s="30" t="str">
        <f>IFERROR(VLOOKUP(C414,T_CÓDIGO[#All],6,FALSE),"")</f>
        <v/>
      </c>
      <c r="F414" s="28"/>
      <c r="G414" s="30"/>
      <c r="H414" s="28"/>
      <c r="I414" s="30"/>
      <c r="J414" s="30"/>
      <c r="K414" s="30" t="str">
        <f>IFERROR(VLOOKUP(C414,T_CÓDIGO[#All],3,FALSE),"")</f>
        <v/>
      </c>
      <c r="L414" s="28"/>
      <c r="M414" s="28"/>
      <c r="N414" s="30"/>
    </row>
    <row r="415" spans="1:14" s="2" customFormat="1" ht="15" thickBot="1" x14ac:dyDescent="0.35">
      <c r="A415" s="29"/>
      <c r="B415" s="30">
        <f t="shared" si="6"/>
        <v>1</v>
      </c>
      <c r="C415" s="28"/>
      <c r="D415" s="35" t="str">
        <f>IFERROR(VLOOKUP(C415,T_CÓDIGO[#All],4,FALSE),"")</f>
        <v/>
      </c>
      <c r="E415" s="30" t="str">
        <f>IFERROR(VLOOKUP(C415,T_CÓDIGO[#All],6,FALSE),"")</f>
        <v/>
      </c>
      <c r="F415" s="28"/>
      <c r="G415" s="30"/>
      <c r="H415" s="28"/>
      <c r="I415" s="30"/>
      <c r="J415" s="30"/>
      <c r="K415" s="30" t="str">
        <f>IFERROR(VLOOKUP(C415,T_CÓDIGO[#All],3,FALSE),"")</f>
        <v/>
      </c>
      <c r="L415" s="28"/>
      <c r="M415" s="28"/>
      <c r="N415" s="30"/>
    </row>
    <row r="416" spans="1:14" s="2" customFormat="1" ht="15" thickBot="1" x14ac:dyDescent="0.35">
      <c r="A416" s="29"/>
      <c r="B416" s="30">
        <f t="shared" si="6"/>
        <v>1</v>
      </c>
      <c r="C416" s="28"/>
      <c r="D416" s="35" t="str">
        <f>IFERROR(VLOOKUP(C416,T_CÓDIGO[#All],4,FALSE),"")</f>
        <v/>
      </c>
      <c r="E416" s="30" t="str">
        <f>IFERROR(VLOOKUP(C416,T_CÓDIGO[#All],6,FALSE),"")</f>
        <v/>
      </c>
      <c r="F416" s="28"/>
      <c r="G416" s="30"/>
      <c r="H416" s="28"/>
      <c r="I416" s="30"/>
      <c r="J416" s="30"/>
      <c r="K416" s="30" t="str">
        <f>IFERROR(VLOOKUP(C416,T_CÓDIGO[#All],3,FALSE),"")</f>
        <v/>
      </c>
      <c r="L416" s="28"/>
      <c r="M416" s="28"/>
      <c r="N416" s="30"/>
    </row>
    <row r="417" spans="1:14" s="2" customFormat="1" ht="15" thickBot="1" x14ac:dyDescent="0.35">
      <c r="A417" s="29"/>
      <c r="B417" s="30">
        <f t="shared" si="6"/>
        <v>1</v>
      </c>
      <c r="C417" s="28"/>
      <c r="D417" s="35" t="str">
        <f>IFERROR(VLOOKUP(C417,T_CÓDIGO[#All],4,FALSE),"")</f>
        <v/>
      </c>
      <c r="E417" s="30" t="str">
        <f>IFERROR(VLOOKUP(C417,T_CÓDIGO[#All],6,FALSE),"")</f>
        <v/>
      </c>
      <c r="F417" s="28"/>
      <c r="G417" s="30"/>
      <c r="H417" s="28"/>
      <c r="I417" s="30"/>
      <c r="J417" s="30"/>
      <c r="K417" s="30" t="str">
        <f>IFERROR(VLOOKUP(C417,T_CÓDIGO[#All],3,FALSE),"")</f>
        <v/>
      </c>
      <c r="L417" s="28"/>
      <c r="M417" s="28"/>
      <c r="N417" s="30"/>
    </row>
    <row r="418" spans="1:14" s="2" customFormat="1" ht="15" thickBot="1" x14ac:dyDescent="0.35">
      <c r="A418" s="29"/>
      <c r="B418" s="30">
        <f t="shared" si="6"/>
        <v>1</v>
      </c>
      <c r="C418" s="28"/>
      <c r="D418" s="35" t="str">
        <f>IFERROR(VLOOKUP(C418,T_CÓDIGO[#All],4,FALSE),"")</f>
        <v/>
      </c>
      <c r="E418" s="30" t="str">
        <f>IFERROR(VLOOKUP(C418,T_CÓDIGO[#All],6,FALSE),"")</f>
        <v/>
      </c>
      <c r="F418" s="28"/>
      <c r="G418" s="30"/>
      <c r="H418" s="28"/>
      <c r="I418" s="30"/>
      <c r="J418" s="30"/>
      <c r="K418" s="30" t="str">
        <f>IFERROR(VLOOKUP(C418,T_CÓDIGO[#All],3,FALSE),"")</f>
        <v/>
      </c>
      <c r="L418" s="28"/>
      <c r="M418" s="28"/>
      <c r="N418" s="30"/>
    </row>
    <row r="419" spans="1:14" s="2" customFormat="1" ht="15" thickBot="1" x14ac:dyDescent="0.35">
      <c r="A419" s="29"/>
      <c r="B419" s="30">
        <f t="shared" si="6"/>
        <v>1</v>
      </c>
      <c r="C419" s="28"/>
      <c r="D419" s="35" t="str">
        <f>IFERROR(VLOOKUP(C419,T_CÓDIGO[#All],4,FALSE),"")</f>
        <v/>
      </c>
      <c r="E419" s="30" t="str">
        <f>IFERROR(VLOOKUP(C419,T_CÓDIGO[#All],6,FALSE),"")</f>
        <v/>
      </c>
      <c r="F419" s="28"/>
      <c r="G419" s="30"/>
      <c r="H419" s="28"/>
      <c r="I419" s="30"/>
      <c r="J419" s="30"/>
      <c r="K419" s="30" t="str">
        <f>IFERROR(VLOOKUP(C419,T_CÓDIGO[#All],3,FALSE),"")</f>
        <v/>
      </c>
      <c r="L419" s="28"/>
      <c r="M419" s="28"/>
      <c r="N419" s="30"/>
    </row>
    <row r="420" spans="1:14" s="2" customFormat="1" ht="15" thickBot="1" x14ac:dyDescent="0.35">
      <c r="A420" s="29"/>
      <c r="B420" s="30">
        <f t="shared" si="6"/>
        <v>1</v>
      </c>
      <c r="C420" s="28"/>
      <c r="D420" s="35" t="str">
        <f>IFERROR(VLOOKUP(C420,T_CÓDIGO[#All],4,FALSE),"")</f>
        <v/>
      </c>
      <c r="E420" s="30" t="str">
        <f>IFERROR(VLOOKUP(C420,T_CÓDIGO[#All],6,FALSE),"")</f>
        <v/>
      </c>
      <c r="F420" s="28"/>
      <c r="G420" s="30"/>
      <c r="H420" s="28"/>
      <c r="I420" s="30"/>
      <c r="J420" s="30"/>
      <c r="K420" s="30" t="str">
        <f>IFERROR(VLOOKUP(C420,T_CÓDIGO[#All],3,FALSE),"")</f>
        <v/>
      </c>
      <c r="L420" s="28"/>
      <c r="M420" s="28"/>
      <c r="N420" s="30"/>
    </row>
    <row r="421" spans="1:14" s="2" customFormat="1" ht="15" thickBot="1" x14ac:dyDescent="0.35">
      <c r="A421" s="29"/>
      <c r="B421" s="30">
        <f t="shared" si="6"/>
        <v>1</v>
      </c>
      <c r="C421" s="28"/>
      <c r="D421" s="35" t="str">
        <f>IFERROR(VLOOKUP(C421,T_CÓDIGO[#All],4,FALSE),"")</f>
        <v/>
      </c>
      <c r="E421" s="30" t="str">
        <f>IFERROR(VLOOKUP(C421,T_CÓDIGO[#All],6,FALSE),"")</f>
        <v/>
      </c>
      <c r="F421" s="28"/>
      <c r="G421" s="30"/>
      <c r="H421" s="28"/>
      <c r="I421" s="30"/>
      <c r="J421" s="30"/>
      <c r="K421" s="30" t="str">
        <f>IFERROR(VLOOKUP(C421,T_CÓDIGO[#All],3,FALSE),"")</f>
        <v/>
      </c>
      <c r="L421" s="28"/>
      <c r="M421" s="28"/>
      <c r="N421" s="30"/>
    </row>
    <row r="422" spans="1:14" s="2" customFormat="1" ht="15" thickBot="1" x14ac:dyDescent="0.35">
      <c r="A422" s="29"/>
      <c r="B422" s="30">
        <f t="shared" si="6"/>
        <v>1</v>
      </c>
      <c r="C422" s="28"/>
      <c r="D422" s="35" t="str">
        <f>IFERROR(VLOOKUP(C422,T_CÓDIGO[#All],4,FALSE),"")</f>
        <v/>
      </c>
      <c r="E422" s="30" t="str">
        <f>IFERROR(VLOOKUP(C422,T_CÓDIGO[#All],6,FALSE),"")</f>
        <v/>
      </c>
      <c r="F422" s="28"/>
      <c r="G422" s="30"/>
      <c r="H422" s="28"/>
      <c r="I422" s="30"/>
      <c r="J422" s="30"/>
      <c r="K422" s="30" t="str">
        <f>IFERROR(VLOOKUP(C422,T_CÓDIGO[#All],3,FALSE),"")</f>
        <v/>
      </c>
      <c r="L422" s="28"/>
      <c r="M422" s="28"/>
      <c r="N422" s="30"/>
    </row>
    <row r="423" spans="1:14" s="2" customFormat="1" ht="15" thickBot="1" x14ac:dyDescent="0.35">
      <c r="A423" s="29"/>
      <c r="B423" s="30">
        <f t="shared" si="6"/>
        <v>1</v>
      </c>
      <c r="C423" s="28"/>
      <c r="D423" s="35" t="str">
        <f>IFERROR(VLOOKUP(C423,T_CÓDIGO[#All],4,FALSE),"")</f>
        <v/>
      </c>
      <c r="E423" s="30" t="str">
        <f>IFERROR(VLOOKUP(C423,T_CÓDIGO[#All],6,FALSE),"")</f>
        <v/>
      </c>
      <c r="F423" s="28"/>
      <c r="G423" s="30"/>
      <c r="H423" s="28"/>
      <c r="I423" s="30"/>
      <c r="J423" s="30"/>
      <c r="K423" s="30" t="str">
        <f>IFERROR(VLOOKUP(C423,T_CÓDIGO[#All],3,FALSE),"")</f>
        <v/>
      </c>
      <c r="L423" s="28"/>
      <c r="M423" s="28"/>
      <c r="N423" s="30"/>
    </row>
    <row r="424" spans="1:14" s="2" customFormat="1" ht="15" thickBot="1" x14ac:dyDescent="0.35">
      <c r="A424" s="29"/>
      <c r="B424" s="30">
        <f t="shared" si="6"/>
        <v>1</v>
      </c>
      <c r="C424" s="28"/>
      <c r="D424" s="35" t="str">
        <f>IFERROR(VLOOKUP(C424,T_CÓDIGO[#All],4,FALSE),"")</f>
        <v/>
      </c>
      <c r="E424" s="30" t="str">
        <f>IFERROR(VLOOKUP(C424,T_CÓDIGO[#All],6,FALSE),"")</f>
        <v/>
      </c>
      <c r="F424" s="28"/>
      <c r="G424" s="30"/>
      <c r="H424" s="28"/>
      <c r="I424" s="30"/>
      <c r="J424" s="30"/>
      <c r="K424" s="30" t="str">
        <f>IFERROR(VLOOKUP(C424,T_CÓDIGO[#All],3,FALSE),"")</f>
        <v/>
      </c>
      <c r="L424" s="28"/>
      <c r="M424" s="28"/>
      <c r="N424" s="30"/>
    </row>
    <row r="425" spans="1:14" s="2" customFormat="1" ht="15" thickBot="1" x14ac:dyDescent="0.35">
      <c r="A425" s="29"/>
      <c r="B425" s="30">
        <f t="shared" si="6"/>
        <v>1</v>
      </c>
      <c r="C425" s="28"/>
      <c r="D425" s="35" t="str">
        <f>IFERROR(VLOOKUP(C425,T_CÓDIGO[#All],4,FALSE),"")</f>
        <v/>
      </c>
      <c r="E425" s="30" t="str">
        <f>IFERROR(VLOOKUP(C425,T_CÓDIGO[#All],6,FALSE),"")</f>
        <v/>
      </c>
      <c r="F425" s="28"/>
      <c r="G425" s="30"/>
      <c r="H425" s="28"/>
      <c r="I425" s="30"/>
      <c r="J425" s="30"/>
      <c r="K425" s="30" t="str">
        <f>IFERROR(VLOOKUP(C425,T_CÓDIGO[#All],3,FALSE),"")</f>
        <v/>
      </c>
      <c r="L425" s="28"/>
      <c r="M425" s="28"/>
      <c r="N425" s="30"/>
    </row>
    <row r="426" spans="1:14" s="2" customFormat="1" ht="15" thickBot="1" x14ac:dyDescent="0.35">
      <c r="A426" s="29"/>
      <c r="B426" s="30">
        <f t="shared" si="6"/>
        <v>1</v>
      </c>
      <c r="C426" s="28"/>
      <c r="D426" s="35" t="str">
        <f>IFERROR(VLOOKUP(C426,T_CÓDIGO[#All],4,FALSE),"")</f>
        <v/>
      </c>
      <c r="E426" s="30" t="str">
        <f>IFERROR(VLOOKUP(C426,T_CÓDIGO[#All],6,FALSE),"")</f>
        <v/>
      </c>
      <c r="F426" s="28"/>
      <c r="G426" s="30"/>
      <c r="H426" s="28"/>
      <c r="I426" s="30"/>
      <c r="J426" s="30"/>
      <c r="K426" s="30" t="str">
        <f>IFERROR(VLOOKUP(C426,T_CÓDIGO[#All],3,FALSE),"")</f>
        <v/>
      </c>
      <c r="L426" s="28"/>
      <c r="M426" s="28"/>
      <c r="N426" s="30"/>
    </row>
    <row r="427" spans="1:14" s="2" customFormat="1" ht="15" thickBot="1" x14ac:dyDescent="0.35">
      <c r="A427" s="29"/>
      <c r="B427" s="30">
        <f t="shared" si="6"/>
        <v>1</v>
      </c>
      <c r="C427" s="28"/>
      <c r="D427" s="35" t="str">
        <f>IFERROR(VLOOKUP(C427,T_CÓDIGO[#All],4,FALSE),"")</f>
        <v/>
      </c>
      <c r="E427" s="30" t="str">
        <f>IFERROR(VLOOKUP(C427,T_CÓDIGO[#All],6,FALSE),"")</f>
        <v/>
      </c>
      <c r="F427" s="28"/>
      <c r="G427" s="30"/>
      <c r="H427" s="28"/>
      <c r="I427" s="30"/>
      <c r="J427" s="30"/>
      <c r="K427" s="30" t="str">
        <f>IFERROR(VLOOKUP(C427,T_CÓDIGO[#All],3,FALSE),"")</f>
        <v/>
      </c>
      <c r="L427" s="28"/>
      <c r="M427" s="28"/>
      <c r="N427" s="30"/>
    </row>
    <row r="428" spans="1:14" s="2" customFormat="1" ht="15" thickBot="1" x14ac:dyDescent="0.35">
      <c r="A428" s="29"/>
      <c r="B428" s="30">
        <f t="shared" si="6"/>
        <v>1</v>
      </c>
      <c r="C428" s="28"/>
      <c r="D428" s="35" t="str">
        <f>IFERROR(VLOOKUP(C428,T_CÓDIGO[#All],4,FALSE),"")</f>
        <v/>
      </c>
      <c r="E428" s="30" t="str">
        <f>IFERROR(VLOOKUP(C428,T_CÓDIGO[#All],6,FALSE),"")</f>
        <v/>
      </c>
      <c r="F428" s="28"/>
      <c r="G428" s="30"/>
      <c r="H428" s="28"/>
      <c r="I428" s="30"/>
      <c r="J428" s="30"/>
      <c r="K428" s="30" t="str">
        <f>IFERROR(VLOOKUP(C428,T_CÓDIGO[#All],3,FALSE),"")</f>
        <v/>
      </c>
      <c r="L428" s="28"/>
      <c r="M428" s="28"/>
      <c r="N428" s="30"/>
    </row>
    <row r="429" spans="1:14" s="2" customFormat="1" ht="15" thickBot="1" x14ac:dyDescent="0.35">
      <c r="A429" s="29"/>
      <c r="B429" s="30">
        <f t="shared" si="6"/>
        <v>1</v>
      </c>
      <c r="C429" s="28"/>
      <c r="D429" s="35" t="str">
        <f>IFERROR(VLOOKUP(C429,T_CÓDIGO[#All],4,FALSE),"")</f>
        <v/>
      </c>
      <c r="E429" s="30" t="str">
        <f>IFERROR(VLOOKUP(C429,T_CÓDIGO[#All],6,FALSE),"")</f>
        <v/>
      </c>
      <c r="F429" s="28"/>
      <c r="G429" s="30"/>
      <c r="H429" s="28"/>
      <c r="I429" s="30"/>
      <c r="J429" s="30"/>
      <c r="K429" s="30" t="str">
        <f>IFERROR(VLOOKUP(C429,T_CÓDIGO[#All],3,FALSE),"")</f>
        <v/>
      </c>
      <c r="L429" s="28"/>
      <c r="M429" s="28"/>
      <c r="N429" s="30"/>
    </row>
    <row r="430" spans="1:14" s="2" customFormat="1" ht="15" thickBot="1" x14ac:dyDescent="0.35">
      <c r="A430" s="29"/>
      <c r="B430" s="30">
        <f t="shared" si="6"/>
        <v>1</v>
      </c>
      <c r="C430" s="28"/>
      <c r="D430" s="35" t="str">
        <f>IFERROR(VLOOKUP(C430,T_CÓDIGO[#All],4,FALSE),"")</f>
        <v/>
      </c>
      <c r="E430" s="30" t="str">
        <f>IFERROR(VLOOKUP(C430,T_CÓDIGO[#All],6,FALSE),"")</f>
        <v/>
      </c>
      <c r="F430" s="28"/>
      <c r="G430" s="30"/>
      <c r="H430" s="28"/>
      <c r="I430" s="30"/>
      <c r="J430" s="30"/>
      <c r="K430" s="30" t="str">
        <f>IFERROR(VLOOKUP(C430,T_CÓDIGO[#All],3,FALSE),"")</f>
        <v/>
      </c>
      <c r="L430" s="28"/>
      <c r="M430" s="28"/>
      <c r="N430" s="30"/>
    </row>
    <row r="431" spans="1:14" s="2" customFormat="1" ht="15" thickBot="1" x14ac:dyDescent="0.35">
      <c r="A431" s="29"/>
      <c r="B431" s="30">
        <f t="shared" si="6"/>
        <v>1</v>
      </c>
      <c r="C431" s="28"/>
      <c r="D431" s="35" t="str">
        <f>IFERROR(VLOOKUP(C431,T_CÓDIGO[#All],4,FALSE),"")</f>
        <v/>
      </c>
      <c r="E431" s="30" t="str">
        <f>IFERROR(VLOOKUP(C431,T_CÓDIGO[#All],6,FALSE),"")</f>
        <v/>
      </c>
      <c r="F431" s="28"/>
      <c r="G431" s="30"/>
      <c r="H431" s="28"/>
      <c r="I431" s="30"/>
      <c r="J431" s="30"/>
      <c r="K431" s="30" t="str">
        <f>IFERROR(VLOOKUP(C431,T_CÓDIGO[#All],3,FALSE),"")</f>
        <v/>
      </c>
      <c r="L431" s="28"/>
      <c r="M431" s="28"/>
      <c r="N431" s="30"/>
    </row>
    <row r="432" spans="1:14" s="2" customFormat="1" ht="15" thickBot="1" x14ac:dyDescent="0.35">
      <c r="A432" s="29"/>
      <c r="B432" s="30">
        <f t="shared" si="6"/>
        <v>1</v>
      </c>
      <c r="C432" s="28"/>
      <c r="D432" s="35" t="str">
        <f>IFERROR(VLOOKUP(C432,T_CÓDIGO[#All],4,FALSE),"")</f>
        <v/>
      </c>
      <c r="E432" s="30" t="str">
        <f>IFERROR(VLOOKUP(C432,T_CÓDIGO[#All],6,FALSE),"")</f>
        <v/>
      </c>
      <c r="F432" s="28"/>
      <c r="G432" s="30"/>
      <c r="H432" s="28"/>
      <c r="I432" s="30"/>
      <c r="J432" s="30"/>
      <c r="K432" s="30" t="str">
        <f>IFERROR(VLOOKUP(C432,T_CÓDIGO[#All],3,FALSE),"")</f>
        <v/>
      </c>
      <c r="L432" s="28"/>
      <c r="M432" s="28"/>
      <c r="N432" s="30"/>
    </row>
    <row r="433" spans="1:14" s="2" customFormat="1" ht="15.6" customHeight="1" thickBot="1" x14ac:dyDescent="0.35">
      <c r="A433" s="29"/>
      <c r="B433" s="30">
        <f t="shared" si="6"/>
        <v>1</v>
      </c>
      <c r="C433" s="28"/>
      <c r="D433" s="35" t="str">
        <f>IFERROR(VLOOKUP(C433,T_CÓDIGO[#All],4,FALSE),"")</f>
        <v/>
      </c>
      <c r="E433" s="30" t="str">
        <f>IFERROR(VLOOKUP(C433,T_CÓDIGO[#All],6,FALSE),"")</f>
        <v/>
      </c>
      <c r="F433" s="28"/>
      <c r="G433" s="30"/>
      <c r="H433" s="28"/>
      <c r="I433" s="30"/>
      <c r="J433" s="30"/>
      <c r="K433" s="30" t="str">
        <f>IFERROR(VLOOKUP(C433,T_CÓDIGO[#All],3,FALSE),"")</f>
        <v/>
      </c>
      <c r="L433" s="28"/>
      <c r="M433" s="28"/>
      <c r="N433" s="30"/>
    </row>
    <row r="434" spans="1:14" s="2" customFormat="1" ht="15" thickBot="1" x14ac:dyDescent="0.35">
      <c r="A434" s="29"/>
      <c r="B434" s="30">
        <f t="shared" si="6"/>
        <v>1</v>
      </c>
      <c r="C434" s="28"/>
      <c r="D434" s="35" t="str">
        <f>IFERROR(VLOOKUP(C434,T_CÓDIGO[#All],4,FALSE),"")</f>
        <v/>
      </c>
      <c r="E434" s="30" t="str">
        <f>IFERROR(VLOOKUP(C434,T_CÓDIGO[#All],6,FALSE),"")</f>
        <v/>
      </c>
      <c r="F434" s="28"/>
      <c r="G434" s="30"/>
      <c r="H434" s="28"/>
      <c r="I434" s="30"/>
      <c r="J434" s="30"/>
      <c r="K434" s="30" t="str">
        <f>IFERROR(VLOOKUP(C434,T_CÓDIGO[#All],3,FALSE),"")</f>
        <v/>
      </c>
      <c r="L434" s="28"/>
      <c r="M434" s="28"/>
      <c r="N434" s="30"/>
    </row>
    <row r="435" spans="1:14" s="2" customFormat="1" ht="15" thickBot="1" x14ac:dyDescent="0.35">
      <c r="A435" s="29"/>
      <c r="B435" s="30">
        <f t="shared" si="6"/>
        <v>1</v>
      </c>
      <c r="C435" s="28"/>
      <c r="D435" s="35" t="str">
        <f>IFERROR(VLOOKUP(C435,T_CÓDIGO[#All],4,FALSE),"")</f>
        <v/>
      </c>
      <c r="E435" s="30" t="str">
        <f>IFERROR(VLOOKUP(C435,T_CÓDIGO[#All],6,FALSE),"")</f>
        <v/>
      </c>
      <c r="F435" s="28"/>
      <c r="G435" s="30"/>
      <c r="H435" s="28"/>
      <c r="I435" s="30"/>
      <c r="J435" s="30"/>
      <c r="K435" s="30" t="str">
        <f>IFERROR(VLOOKUP(C435,T_CÓDIGO[#All],3,FALSE),"")</f>
        <v/>
      </c>
      <c r="L435" s="28"/>
      <c r="M435" s="28"/>
      <c r="N435" s="30"/>
    </row>
    <row r="436" spans="1:14" s="2" customFormat="1" ht="15" thickBot="1" x14ac:dyDescent="0.35">
      <c r="A436" s="29"/>
      <c r="B436" s="30">
        <f t="shared" si="6"/>
        <v>1</v>
      </c>
      <c r="C436" s="28"/>
      <c r="D436" s="35" t="str">
        <f>IFERROR(VLOOKUP(C436,T_CÓDIGO[#All],4,FALSE),"")</f>
        <v/>
      </c>
      <c r="E436" s="30" t="str">
        <f>IFERROR(VLOOKUP(C436,T_CÓDIGO[#All],6,FALSE),"")</f>
        <v/>
      </c>
      <c r="F436" s="28"/>
      <c r="G436" s="30"/>
      <c r="H436" s="28"/>
      <c r="I436" s="30"/>
      <c r="J436" s="30"/>
      <c r="K436" s="30" t="str">
        <f>IFERROR(VLOOKUP(C436,T_CÓDIGO[#All],3,FALSE),"")</f>
        <v/>
      </c>
      <c r="L436" s="28"/>
      <c r="M436" s="28"/>
      <c r="N436" s="30"/>
    </row>
    <row r="437" spans="1:14" s="2" customFormat="1" ht="15" thickBot="1" x14ac:dyDescent="0.35">
      <c r="A437" s="29"/>
      <c r="B437" s="30">
        <f t="shared" si="6"/>
        <v>1</v>
      </c>
      <c r="C437" s="28"/>
      <c r="D437" s="35" t="str">
        <f>IFERROR(VLOOKUP(C437,T_CÓDIGO[#All],4,FALSE),"")</f>
        <v/>
      </c>
      <c r="E437" s="30" t="str">
        <f>IFERROR(VLOOKUP(C437,T_CÓDIGO[#All],6,FALSE),"")</f>
        <v/>
      </c>
      <c r="F437" s="28"/>
      <c r="G437" s="30"/>
      <c r="H437" s="28"/>
      <c r="I437" s="30"/>
      <c r="J437" s="30"/>
      <c r="K437" s="30" t="str">
        <f>IFERROR(VLOOKUP(C437,T_CÓDIGO[#All],3,FALSE),"")</f>
        <v/>
      </c>
      <c r="L437" s="28"/>
      <c r="M437" s="28"/>
      <c r="N437" s="30"/>
    </row>
    <row r="438" spans="1:14" s="2" customFormat="1" ht="15" thickBot="1" x14ac:dyDescent="0.35">
      <c r="A438" s="29"/>
      <c r="B438" s="30">
        <f t="shared" si="6"/>
        <v>1</v>
      </c>
      <c r="C438" s="28"/>
      <c r="D438" s="35" t="str">
        <f>IFERROR(VLOOKUP(C438,T_CÓDIGO[#All],4,FALSE),"")</f>
        <v/>
      </c>
      <c r="E438" s="30" t="str">
        <f>IFERROR(VLOOKUP(C438,T_CÓDIGO[#All],6,FALSE),"")</f>
        <v/>
      </c>
      <c r="F438" s="28"/>
      <c r="G438" s="30"/>
      <c r="H438" s="28"/>
      <c r="I438" s="30"/>
      <c r="J438" s="30"/>
      <c r="K438" s="30" t="str">
        <f>IFERROR(VLOOKUP(C438,T_CÓDIGO[#All],3,FALSE),"")</f>
        <v/>
      </c>
      <c r="L438" s="28"/>
      <c r="M438" s="28"/>
      <c r="N438" s="30"/>
    </row>
    <row r="439" spans="1:14" s="2" customFormat="1" ht="15" thickBot="1" x14ac:dyDescent="0.35">
      <c r="A439" s="29"/>
      <c r="B439" s="30">
        <f t="shared" si="6"/>
        <v>1</v>
      </c>
      <c r="C439" s="28"/>
      <c r="D439" s="35" t="str">
        <f>IFERROR(VLOOKUP(C439,T_CÓDIGO[#All],4,FALSE),"")</f>
        <v/>
      </c>
      <c r="E439" s="30" t="str">
        <f>IFERROR(VLOOKUP(C439,T_CÓDIGO[#All],6,FALSE),"")</f>
        <v/>
      </c>
      <c r="F439" s="28"/>
      <c r="G439" s="30"/>
      <c r="H439" s="28"/>
      <c r="I439" s="30"/>
      <c r="J439" s="30"/>
      <c r="K439" s="30" t="str">
        <f>IFERROR(VLOOKUP(C439,T_CÓDIGO[#All],3,FALSE),"")</f>
        <v/>
      </c>
      <c r="L439" s="28"/>
      <c r="M439" s="28"/>
      <c r="N439" s="30"/>
    </row>
    <row r="440" spans="1:14" s="2" customFormat="1" ht="15" thickBot="1" x14ac:dyDescent="0.35">
      <c r="A440" s="29"/>
      <c r="B440" s="30">
        <f t="shared" si="6"/>
        <v>1</v>
      </c>
      <c r="C440" s="28"/>
      <c r="D440" s="35" t="str">
        <f>IFERROR(VLOOKUP(C440,T_CÓDIGO[#All],4,FALSE),"")</f>
        <v/>
      </c>
      <c r="E440" s="30" t="str">
        <f>IFERROR(VLOOKUP(C440,T_CÓDIGO[#All],6,FALSE),"")</f>
        <v/>
      </c>
      <c r="F440" s="28"/>
      <c r="G440" s="30"/>
      <c r="H440" s="28"/>
      <c r="I440" s="30"/>
      <c r="J440" s="30"/>
      <c r="K440" s="30" t="str">
        <f>IFERROR(VLOOKUP(C440,T_CÓDIGO[#All],3,FALSE),"")</f>
        <v/>
      </c>
      <c r="L440" s="28"/>
      <c r="M440" s="28"/>
      <c r="N440" s="30"/>
    </row>
    <row r="441" spans="1:14" s="2" customFormat="1" ht="15" thickBot="1" x14ac:dyDescent="0.35">
      <c r="A441" s="29"/>
      <c r="B441" s="30">
        <f t="shared" si="6"/>
        <v>1</v>
      </c>
      <c r="C441" s="28"/>
      <c r="D441" s="35" t="str">
        <f>IFERROR(VLOOKUP(C441,T_CÓDIGO[#All],4,FALSE),"")</f>
        <v/>
      </c>
      <c r="E441" s="30" t="str">
        <f>IFERROR(VLOOKUP(C441,T_CÓDIGO[#All],6,FALSE),"")</f>
        <v/>
      </c>
      <c r="F441" s="28"/>
      <c r="G441" s="30"/>
      <c r="H441" s="28"/>
      <c r="I441" s="30"/>
      <c r="J441" s="30"/>
      <c r="K441" s="30" t="str">
        <f>IFERROR(VLOOKUP(C441,T_CÓDIGO[#All],3,FALSE),"")</f>
        <v/>
      </c>
      <c r="L441" s="28"/>
      <c r="M441" s="28"/>
      <c r="N441" s="30"/>
    </row>
    <row r="442" spans="1:14" s="2" customFormat="1" ht="15" thickBot="1" x14ac:dyDescent="0.35">
      <c r="A442" s="29"/>
      <c r="B442" s="30">
        <f t="shared" si="6"/>
        <v>1</v>
      </c>
      <c r="C442" s="28"/>
      <c r="D442" s="35" t="str">
        <f>IFERROR(VLOOKUP(C442,T_CÓDIGO[#All],4,FALSE),"")</f>
        <v/>
      </c>
      <c r="E442" s="30" t="str">
        <f>IFERROR(VLOOKUP(C442,T_CÓDIGO[#All],6,FALSE),"")</f>
        <v/>
      </c>
      <c r="F442" s="28"/>
      <c r="G442" s="30"/>
      <c r="H442" s="28"/>
      <c r="I442" s="30"/>
      <c r="J442" s="30"/>
      <c r="K442" s="30" t="str">
        <f>IFERROR(VLOOKUP(C442,T_CÓDIGO[#All],3,FALSE),"")</f>
        <v/>
      </c>
      <c r="L442" s="28"/>
      <c r="M442" s="28"/>
      <c r="N442" s="30"/>
    </row>
    <row r="443" spans="1:14" s="2" customFormat="1" ht="15" thickBot="1" x14ac:dyDescent="0.35">
      <c r="A443" s="29"/>
      <c r="B443" s="30">
        <f t="shared" si="6"/>
        <v>1</v>
      </c>
      <c r="C443" s="28"/>
      <c r="D443" s="35" t="str">
        <f>IFERROR(VLOOKUP(C443,T_CÓDIGO[#All],4,FALSE),"")</f>
        <v/>
      </c>
      <c r="E443" s="30" t="str">
        <f>IFERROR(VLOOKUP(C443,T_CÓDIGO[#All],6,FALSE),"")</f>
        <v/>
      </c>
      <c r="F443" s="28"/>
      <c r="G443" s="30"/>
      <c r="H443" s="28"/>
      <c r="I443" s="30"/>
      <c r="J443" s="30"/>
      <c r="K443" s="30" t="str">
        <f>IFERROR(VLOOKUP(C443,T_CÓDIGO[#All],3,FALSE),"")</f>
        <v/>
      </c>
      <c r="L443" s="28"/>
      <c r="M443" s="28"/>
      <c r="N443" s="30"/>
    </row>
    <row r="444" spans="1:14" s="2" customFormat="1" ht="15" thickBot="1" x14ac:dyDescent="0.35">
      <c r="A444" s="29"/>
      <c r="B444" s="30">
        <f t="shared" si="6"/>
        <v>1</v>
      </c>
      <c r="C444" s="28"/>
      <c r="D444" s="35" t="str">
        <f>IFERROR(VLOOKUP(C444,T_CÓDIGO[#All],4,FALSE),"")</f>
        <v/>
      </c>
      <c r="E444" s="30" t="str">
        <f>IFERROR(VLOOKUP(C444,T_CÓDIGO[#All],6,FALSE),"")</f>
        <v/>
      </c>
      <c r="F444" s="28"/>
      <c r="G444" s="30"/>
      <c r="H444" s="28"/>
      <c r="I444" s="30"/>
      <c r="J444" s="30"/>
      <c r="K444" s="30" t="str">
        <f>IFERROR(VLOOKUP(C444,T_CÓDIGO[#All],3,FALSE),"")</f>
        <v/>
      </c>
      <c r="L444" s="28"/>
      <c r="M444" s="28"/>
      <c r="N444" s="30"/>
    </row>
    <row r="445" spans="1:14" s="2" customFormat="1" ht="15" thickBot="1" x14ac:dyDescent="0.35">
      <c r="A445" s="29"/>
      <c r="B445" s="30">
        <f t="shared" si="6"/>
        <v>1</v>
      </c>
      <c r="C445" s="28"/>
      <c r="D445" s="35" t="str">
        <f>IFERROR(VLOOKUP(C445,T_CÓDIGO[#All],4,FALSE),"")</f>
        <v/>
      </c>
      <c r="E445" s="30" t="str">
        <f>IFERROR(VLOOKUP(C445,T_CÓDIGO[#All],6,FALSE),"")</f>
        <v/>
      </c>
      <c r="F445" s="28"/>
      <c r="G445" s="30"/>
      <c r="H445" s="28"/>
      <c r="I445" s="30"/>
      <c r="J445" s="30"/>
      <c r="K445" s="30" t="str">
        <f>IFERROR(VLOOKUP(C445,T_CÓDIGO[#All],3,FALSE),"")</f>
        <v/>
      </c>
      <c r="L445" s="28"/>
      <c r="M445" s="28"/>
      <c r="N445" s="30"/>
    </row>
    <row r="446" spans="1:14" s="2" customFormat="1" ht="15" thickBot="1" x14ac:dyDescent="0.35">
      <c r="A446" s="29"/>
      <c r="B446" s="30">
        <f t="shared" si="6"/>
        <v>1</v>
      </c>
      <c r="C446" s="28"/>
      <c r="D446" s="35" t="str">
        <f>IFERROR(VLOOKUP(C446,T_CÓDIGO[#All],4,FALSE),"")</f>
        <v/>
      </c>
      <c r="E446" s="30" t="str">
        <f>IFERROR(VLOOKUP(C446,T_CÓDIGO[#All],6,FALSE),"")</f>
        <v/>
      </c>
      <c r="F446" s="28"/>
      <c r="G446" s="30"/>
      <c r="H446" s="28"/>
      <c r="I446" s="30"/>
      <c r="J446" s="30"/>
      <c r="K446" s="30" t="str">
        <f>IFERROR(VLOOKUP(C446,T_CÓDIGO[#All],3,FALSE),"")</f>
        <v/>
      </c>
      <c r="L446" s="28"/>
      <c r="M446" s="28"/>
      <c r="N446" s="30"/>
    </row>
    <row r="447" spans="1:14" s="2" customFormat="1" ht="15" thickBot="1" x14ac:dyDescent="0.35">
      <c r="A447" s="29"/>
      <c r="B447" s="30">
        <f t="shared" si="6"/>
        <v>1</v>
      </c>
      <c r="C447" s="28"/>
      <c r="D447" s="35" t="str">
        <f>IFERROR(VLOOKUP(C447,T_CÓDIGO[#All],4,FALSE),"")</f>
        <v/>
      </c>
      <c r="E447" s="30" t="str">
        <f>IFERROR(VLOOKUP(C447,T_CÓDIGO[#All],6,FALSE),"")</f>
        <v/>
      </c>
      <c r="F447" s="28"/>
      <c r="G447" s="30"/>
      <c r="H447" s="28"/>
      <c r="I447" s="30"/>
      <c r="J447" s="30"/>
      <c r="K447" s="30" t="str">
        <f>IFERROR(VLOOKUP(C447,T_CÓDIGO[#All],3,FALSE),"")</f>
        <v/>
      </c>
      <c r="L447" s="28"/>
      <c r="M447" s="28"/>
      <c r="N447" s="30"/>
    </row>
    <row r="448" spans="1:14" s="2" customFormat="1" ht="15" thickBot="1" x14ac:dyDescent="0.35">
      <c r="A448" s="29"/>
      <c r="B448" s="30">
        <f t="shared" si="6"/>
        <v>1</v>
      </c>
      <c r="C448" s="28"/>
      <c r="D448" s="35" t="str">
        <f>IFERROR(VLOOKUP(C448,T_CÓDIGO[#All],4,FALSE),"")</f>
        <v/>
      </c>
      <c r="E448" s="30" t="str">
        <f>IFERROR(VLOOKUP(C448,T_CÓDIGO[#All],6,FALSE),"")</f>
        <v/>
      </c>
      <c r="F448" s="28"/>
      <c r="G448" s="30"/>
      <c r="H448" s="28"/>
      <c r="I448" s="30"/>
      <c r="J448" s="30"/>
      <c r="K448" s="30" t="str">
        <f>IFERROR(VLOOKUP(C448,T_CÓDIGO[#All],3,FALSE),"")</f>
        <v/>
      </c>
      <c r="L448" s="28"/>
      <c r="M448" s="28"/>
      <c r="N448" s="30"/>
    </row>
    <row r="449" spans="1:14" s="2" customFormat="1" ht="15" thickBot="1" x14ac:dyDescent="0.35">
      <c r="A449" s="29"/>
      <c r="B449" s="30">
        <f t="shared" si="6"/>
        <v>1</v>
      </c>
      <c r="C449" s="28"/>
      <c r="D449" s="35" t="str">
        <f>IFERROR(VLOOKUP(C449,T_CÓDIGO[#All],4,FALSE),"")</f>
        <v/>
      </c>
      <c r="E449" s="30" t="str">
        <f>IFERROR(VLOOKUP(C449,T_CÓDIGO[#All],6,FALSE),"")</f>
        <v/>
      </c>
      <c r="F449" s="28"/>
      <c r="G449" s="30"/>
      <c r="H449" s="28"/>
      <c r="I449" s="30"/>
      <c r="J449" s="30"/>
      <c r="K449" s="30" t="str">
        <f>IFERROR(VLOOKUP(C449,T_CÓDIGO[#All],3,FALSE),"")</f>
        <v/>
      </c>
      <c r="L449" s="28"/>
      <c r="M449" s="28"/>
      <c r="N449" s="30"/>
    </row>
    <row r="450" spans="1:14" s="2" customFormat="1" ht="15" thickBot="1" x14ac:dyDescent="0.35">
      <c r="A450" s="29"/>
      <c r="B450" s="30">
        <f t="shared" si="6"/>
        <v>1</v>
      </c>
      <c r="C450" s="28"/>
      <c r="D450" s="35" t="str">
        <f>IFERROR(VLOOKUP(C450,T_CÓDIGO[#All],4,FALSE),"")</f>
        <v/>
      </c>
      <c r="E450" s="30" t="str">
        <f>IFERROR(VLOOKUP(C450,T_CÓDIGO[#All],6,FALSE),"")</f>
        <v/>
      </c>
      <c r="F450" s="28"/>
      <c r="G450" s="30"/>
      <c r="H450" s="28"/>
      <c r="I450" s="30"/>
      <c r="J450" s="30"/>
      <c r="K450" s="30" t="str">
        <f>IFERROR(VLOOKUP(C450,T_CÓDIGO[#All],3,FALSE),"")</f>
        <v/>
      </c>
      <c r="L450" s="28"/>
      <c r="M450" s="28"/>
      <c r="N450" s="30"/>
    </row>
    <row r="451" spans="1:14" s="2" customFormat="1" ht="15" thickBot="1" x14ac:dyDescent="0.35">
      <c r="A451" s="29"/>
      <c r="B451" s="30">
        <f t="shared" si="6"/>
        <v>1</v>
      </c>
      <c r="C451" s="28"/>
      <c r="D451" s="35" t="str">
        <f>IFERROR(VLOOKUP(C451,T_CÓDIGO[#All],4,FALSE),"")</f>
        <v/>
      </c>
      <c r="E451" s="30" t="str">
        <f>IFERROR(VLOOKUP(C451,T_CÓDIGO[#All],6,FALSE),"")</f>
        <v/>
      </c>
      <c r="F451" s="28"/>
      <c r="G451" s="30"/>
      <c r="H451" s="28"/>
      <c r="I451" s="30"/>
      <c r="J451" s="30"/>
      <c r="K451" s="30" t="str">
        <f>IFERROR(VLOOKUP(C451,T_CÓDIGO[#All],3,FALSE),"")</f>
        <v/>
      </c>
      <c r="L451" s="28"/>
      <c r="M451" s="28"/>
      <c r="N451" s="30"/>
    </row>
    <row r="452" spans="1:14" s="2" customFormat="1" ht="15" thickBot="1" x14ac:dyDescent="0.35">
      <c r="A452" s="29"/>
      <c r="B452" s="30">
        <f t="shared" si="6"/>
        <v>1</v>
      </c>
      <c r="C452" s="28"/>
      <c r="D452" s="35" t="str">
        <f>IFERROR(VLOOKUP(C452,T_CÓDIGO[#All],4,FALSE),"")</f>
        <v/>
      </c>
      <c r="E452" s="30" t="str">
        <f>IFERROR(VLOOKUP(C452,T_CÓDIGO[#All],6,FALSE),"")</f>
        <v/>
      </c>
      <c r="F452" s="28"/>
      <c r="G452" s="30"/>
      <c r="H452" s="28"/>
      <c r="I452" s="30"/>
      <c r="J452" s="30"/>
      <c r="K452" s="30" t="str">
        <f>IFERROR(VLOOKUP(C452,T_CÓDIGO[#All],3,FALSE),"")</f>
        <v/>
      </c>
      <c r="L452" s="28"/>
      <c r="M452" s="28"/>
      <c r="N452" s="30"/>
    </row>
    <row r="453" spans="1:14" s="2" customFormat="1" ht="15" thickBot="1" x14ac:dyDescent="0.35">
      <c r="A453" s="29"/>
      <c r="B453" s="30">
        <f t="shared" si="6"/>
        <v>1</v>
      </c>
      <c r="C453" s="28"/>
      <c r="D453" s="35" t="str">
        <f>IFERROR(VLOOKUP(C453,T_CÓDIGO[#All],4,FALSE),"")</f>
        <v/>
      </c>
      <c r="E453" s="30" t="str">
        <f>IFERROR(VLOOKUP(C453,T_CÓDIGO[#All],6,FALSE),"")</f>
        <v/>
      </c>
      <c r="F453" s="28"/>
      <c r="G453" s="30"/>
      <c r="H453" s="28"/>
      <c r="I453" s="30"/>
      <c r="J453" s="30"/>
      <c r="K453" s="30" t="str">
        <f>IFERROR(VLOOKUP(C453,T_CÓDIGO[#All],3,FALSE),"")</f>
        <v/>
      </c>
      <c r="L453" s="28"/>
      <c r="M453" s="28"/>
      <c r="N453" s="30"/>
    </row>
    <row r="454" spans="1:14" s="2" customFormat="1" ht="15" thickBot="1" x14ac:dyDescent="0.35">
      <c r="A454" s="29"/>
      <c r="B454" s="30">
        <f t="shared" si="6"/>
        <v>1</v>
      </c>
      <c r="C454" s="28"/>
      <c r="D454" s="35" t="str">
        <f>IFERROR(VLOOKUP(C454,T_CÓDIGO[#All],4,FALSE),"")</f>
        <v/>
      </c>
      <c r="E454" s="30" t="str">
        <f>IFERROR(VLOOKUP(C454,T_CÓDIGO[#All],6,FALSE),"")</f>
        <v/>
      </c>
      <c r="F454" s="28"/>
      <c r="G454" s="30"/>
      <c r="H454" s="28"/>
      <c r="I454" s="30"/>
      <c r="J454" s="30"/>
      <c r="K454" s="30" t="str">
        <f>IFERROR(VLOOKUP(C454,T_CÓDIGO[#All],3,FALSE),"")</f>
        <v/>
      </c>
      <c r="L454" s="28"/>
      <c r="M454" s="28"/>
      <c r="N454" s="30"/>
    </row>
    <row r="455" spans="1:14" s="2" customFormat="1" ht="15" thickBot="1" x14ac:dyDescent="0.35">
      <c r="A455" s="29"/>
      <c r="B455" s="30">
        <f t="shared" si="6"/>
        <v>1</v>
      </c>
      <c r="C455" s="28"/>
      <c r="D455" s="35" t="str">
        <f>IFERROR(VLOOKUP(C455,T_CÓDIGO[#All],4,FALSE),"")</f>
        <v/>
      </c>
      <c r="E455" s="30" t="str">
        <f>IFERROR(VLOOKUP(C455,T_CÓDIGO[#All],6,FALSE),"")</f>
        <v/>
      </c>
      <c r="F455" s="28"/>
      <c r="G455" s="30"/>
      <c r="H455" s="28"/>
      <c r="I455" s="30"/>
      <c r="J455" s="30"/>
      <c r="K455" s="30" t="str">
        <f>IFERROR(VLOOKUP(C455,T_CÓDIGO[#All],3,FALSE),"")</f>
        <v/>
      </c>
      <c r="L455" s="28"/>
      <c r="M455" s="28"/>
      <c r="N455" s="30"/>
    </row>
    <row r="456" spans="1:14" s="2" customFormat="1" ht="15" thickBot="1" x14ac:dyDescent="0.35">
      <c r="A456" s="29"/>
      <c r="B456" s="30">
        <f t="shared" si="6"/>
        <v>1</v>
      </c>
      <c r="C456" s="28"/>
      <c r="D456" s="35" t="str">
        <f>IFERROR(VLOOKUP(C456,T_CÓDIGO[#All],4,FALSE),"")</f>
        <v/>
      </c>
      <c r="E456" s="30" t="str">
        <f>IFERROR(VLOOKUP(C456,T_CÓDIGO[#All],6,FALSE),"")</f>
        <v/>
      </c>
      <c r="F456" s="28"/>
      <c r="G456" s="30"/>
      <c r="H456" s="28"/>
      <c r="I456" s="30"/>
      <c r="J456" s="30"/>
      <c r="K456" s="30" t="str">
        <f>IFERROR(VLOOKUP(C456,T_CÓDIGO[#All],3,FALSE),"")</f>
        <v/>
      </c>
      <c r="L456" s="28"/>
      <c r="M456" s="28"/>
      <c r="N456" s="30"/>
    </row>
    <row r="457" spans="1:14" s="2" customFormat="1" ht="15" thickBot="1" x14ac:dyDescent="0.35">
      <c r="A457" s="29"/>
      <c r="B457" s="30">
        <f t="shared" si="6"/>
        <v>1</v>
      </c>
      <c r="C457" s="28"/>
      <c r="D457" s="35" t="str">
        <f>IFERROR(VLOOKUP(C457,T_CÓDIGO[#All],4,FALSE),"")</f>
        <v/>
      </c>
      <c r="E457" s="30" t="str">
        <f>IFERROR(VLOOKUP(C457,T_CÓDIGO[#All],6,FALSE),"")</f>
        <v/>
      </c>
      <c r="F457" s="28"/>
      <c r="G457" s="30"/>
      <c r="H457" s="28"/>
      <c r="I457" s="30"/>
      <c r="J457" s="30"/>
      <c r="K457" s="30" t="str">
        <f>IFERROR(VLOOKUP(C457,T_CÓDIGO[#All],3,FALSE),"")</f>
        <v/>
      </c>
      <c r="L457" s="28"/>
      <c r="M457" s="28"/>
      <c r="N457" s="30"/>
    </row>
    <row r="458" spans="1:14" s="2" customFormat="1" ht="15" thickBot="1" x14ac:dyDescent="0.35">
      <c r="A458" s="29"/>
      <c r="B458" s="30">
        <f t="shared" ref="B458:B521" si="7">MONTH(A458)</f>
        <v>1</v>
      </c>
      <c r="C458" s="28"/>
      <c r="D458" s="35" t="str">
        <f>IFERROR(VLOOKUP(C458,T_CÓDIGO[#All],4,FALSE),"")</f>
        <v/>
      </c>
      <c r="E458" s="30" t="str">
        <f>IFERROR(VLOOKUP(C458,T_CÓDIGO[#All],6,FALSE),"")</f>
        <v/>
      </c>
      <c r="F458" s="28"/>
      <c r="G458" s="30"/>
      <c r="H458" s="28"/>
      <c r="I458" s="30"/>
      <c r="J458" s="30"/>
      <c r="K458" s="30" t="str">
        <f>IFERROR(VLOOKUP(C458,T_CÓDIGO[#All],3,FALSE),"")</f>
        <v/>
      </c>
      <c r="L458" s="28"/>
      <c r="M458" s="28"/>
      <c r="N458" s="30"/>
    </row>
    <row r="459" spans="1:14" s="2" customFormat="1" ht="15" thickBot="1" x14ac:dyDescent="0.35">
      <c r="A459" s="29"/>
      <c r="B459" s="30">
        <f t="shared" si="7"/>
        <v>1</v>
      </c>
      <c r="C459" s="28"/>
      <c r="D459" s="35" t="str">
        <f>IFERROR(VLOOKUP(C459,T_CÓDIGO[#All],4,FALSE),"")</f>
        <v/>
      </c>
      <c r="E459" s="30" t="str">
        <f>IFERROR(VLOOKUP(C459,T_CÓDIGO[#All],6,FALSE),"")</f>
        <v/>
      </c>
      <c r="F459" s="28"/>
      <c r="G459" s="30"/>
      <c r="H459" s="28"/>
      <c r="I459" s="30"/>
      <c r="J459" s="30"/>
      <c r="K459" s="30" t="str">
        <f>IFERROR(VLOOKUP(C459,T_CÓDIGO[#All],3,FALSE),"")</f>
        <v/>
      </c>
      <c r="L459" s="28"/>
      <c r="M459" s="28"/>
      <c r="N459" s="30"/>
    </row>
    <row r="460" spans="1:14" s="2" customFormat="1" ht="15" thickBot="1" x14ac:dyDescent="0.35">
      <c r="A460" s="29"/>
      <c r="B460" s="30">
        <f t="shared" si="7"/>
        <v>1</v>
      </c>
      <c r="C460" s="28"/>
      <c r="D460" s="35" t="str">
        <f>IFERROR(VLOOKUP(C460,T_CÓDIGO[#All],4,FALSE),"")</f>
        <v/>
      </c>
      <c r="E460" s="30" t="str">
        <f>IFERROR(VLOOKUP(C460,T_CÓDIGO[#All],6,FALSE),"")</f>
        <v/>
      </c>
      <c r="F460" s="28"/>
      <c r="G460" s="30"/>
      <c r="H460" s="28"/>
      <c r="I460" s="30"/>
      <c r="J460" s="30"/>
      <c r="K460" s="30" t="str">
        <f>IFERROR(VLOOKUP(C460,T_CÓDIGO[#All],3,FALSE),"")</f>
        <v/>
      </c>
      <c r="L460" s="28"/>
      <c r="M460" s="28"/>
      <c r="N460" s="30"/>
    </row>
    <row r="461" spans="1:14" s="2" customFormat="1" ht="15" thickBot="1" x14ac:dyDescent="0.35">
      <c r="A461" s="29"/>
      <c r="B461" s="30">
        <f t="shared" si="7"/>
        <v>1</v>
      </c>
      <c r="C461" s="28"/>
      <c r="D461" s="35" t="str">
        <f>IFERROR(VLOOKUP(C461,T_CÓDIGO[#All],4,FALSE),"")</f>
        <v/>
      </c>
      <c r="E461" s="30" t="str">
        <f>IFERROR(VLOOKUP(C461,T_CÓDIGO[#All],6,FALSE),"")</f>
        <v/>
      </c>
      <c r="F461" s="28"/>
      <c r="G461" s="30"/>
      <c r="H461" s="28"/>
      <c r="I461" s="30"/>
      <c r="J461" s="30"/>
      <c r="K461" s="30" t="str">
        <f>IFERROR(VLOOKUP(C461,T_CÓDIGO[#All],3,FALSE),"")</f>
        <v/>
      </c>
      <c r="L461" s="28"/>
      <c r="M461" s="28"/>
      <c r="N461" s="30"/>
    </row>
    <row r="462" spans="1:14" s="2" customFormat="1" ht="15" thickBot="1" x14ac:dyDescent="0.35">
      <c r="A462" s="29"/>
      <c r="B462" s="30">
        <f t="shared" si="7"/>
        <v>1</v>
      </c>
      <c r="C462" s="28"/>
      <c r="D462" s="35" t="str">
        <f>IFERROR(VLOOKUP(C462,T_CÓDIGO[#All],4,FALSE),"")</f>
        <v/>
      </c>
      <c r="E462" s="30" t="str">
        <f>IFERROR(VLOOKUP(C462,T_CÓDIGO[#All],6,FALSE),"")</f>
        <v/>
      </c>
      <c r="F462" s="28"/>
      <c r="G462" s="30"/>
      <c r="H462" s="28"/>
      <c r="I462" s="30"/>
      <c r="J462" s="30"/>
      <c r="K462" s="30" t="str">
        <f>IFERROR(VLOOKUP(C462,T_CÓDIGO[#All],3,FALSE),"")</f>
        <v/>
      </c>
      <c r="L462" s="28"/>
      <c r="M462" s="28"/>
      <c r="N462" s="30"/>
    </row>
    <row r="463" spans="1:14" s="2" customFormat="1" ht="15" thickBot="1" x14ac:dyDescent="0.35">
      <c r="A463" s="29"/>
      <c r="B463" s="30">
        <f t="shared" si="7"/>
        <v>1</v>
      </c>
      <c r="C463" s="28"/>
      <c r="D463" s="35" t="str">
        <f>IFERROR(VLOOKUP(C463,T_CÓDIGO[#All],4,FALSE),"")</f>
        <v/>
      </c>
      <c r="E463" s="30" t="str">
        <f>IFERROR(VLOOKUP(C463,T_CÓDIGO[#All],6,FALSE),"")</f>
        <v/>
      </c>
      <c r="F463" s="28"/>
      <c r="G463" s="30"/>
      <c r="H463" s="28"/>
      <c r="I463" s="30"/>
      <c r="J463" s="30"/>
      <c r="K463" s="30" t="str">
        <f>IFERROR(VLOOKUP(C463,T_CÓDIGO[#All],3,FALSE),"")</f>
        <v/>
      </c>
      <c r="L463" s="28"/>
      <c r="M463" s="28"/>
      <c r="N463" s="30"/>
    </row>
    <row r="464" spans="1:14" s="2" customFormat="1" ht="15" thickBot="1" x14ac:dyDescent="0.35">
      <c r="A464" s="29"/>
      <c r="B464" s="30">
        <f t="shared" si="7"/>
        <v>1</v>
      </c>
      <c r="C464" s="28"/>
      <c r="D464" s="35" t="str">
        <f>IFERROR(VLOOKUP(C464,T_CÓDIGO[#All],4,FALSE),"")</f>
        <v/>
      </c>
      <c r="E464" s="30" t="str">
        <f>IFERROR(VLOOKUP(C464,T_CÓDIGO[#All],6,FALSE),"")</f>
        <v/>
      </c>
      <c r="F464" s="28"/>
      <c r="G464" s="30"/>
      <c r="H464" s="28"/>
      <c r="I464" s="30"/>
      <c r="J464" s="30"/>
      <c r="K464" s="30" t="str">
        <f>IFERROR(VLOOKUP(C464,T_CÓDIGO[#All],3,FALSE),"")</f>
        <v/>
      </c>
      <c r="L464" s="28"/>
      <c r="M464" s="28"/>
      <c r="N464" s="30"/>
    </row>
    <row r="465" spans="1:14" s="2" customFormat="1" ht="15" thickBot="1" x14ac:dyDescent="0.35">
      <c r="A465" s="29"/>
      <c r="B465" s="30">
        <f t="shared" si="7"/>
        <v>1</v>
      </c>
      <c r="C465" s="28"/>
      <c r="D465" s="35" t="str">
        <f>IFERROR(VLOOKUP(C465,T_CÓDIGO[#All],4,FALSE),"")</f>
        <v/>
      </c>
      <c r="E465" s="30" t="str">
        <f>IFERROR(VLOOKUP(C465,T_CÓDIGO[#All],6,FALSE),"")</f>
        <v/>
      </c>
      <c r="F465" s="28"/>
      <c r="G465" s="30"/>
      <c r="H465" s="28"/>
      <c r="I465" s="30"/>
      <c r="J465" s="30"/>
      <c r="K465" s="30" t="str">
        <f>IFERROR(VLOOKUP(C465,T_CÓDIGO[#All],3,FALSE),"")</f>
        <v/>
      </c>
      <c r="L465" s="28"/>
      <c r="M465" s="28"/>
      <c r="N465" s="30"/>
    </row>
    <row r="466" spans="1:14" s="2" customFormat="1" ht="15" thickBot="1" x14ac:dyDescent="0.35">
      <c r="A466" s="29"/>
      <c r="B466" s="30">
        <f t="shared" si="7"/>
        <v>1</v>
      </c>
      <c r="C466" s="28"/>
      <c r="D466" s="35" t="str">
        <f>IFERROR(VLOOKUP(C466,T_CÓDIGO[#All],4,FALSE),"")</f>
        <v/>
      </c>
      <c r="E466" s="30" t="str">
        <f>IFERROR(VLOOKUP(C466,T_CÓDIGO[#All],6,FALSE),"")</f>
        <v/>
      </c>
      <c r="F466" s="28"/>
      <c r="G466" s="30"/>
      <c r="H466" s="28"/>
      <c r="I466" s="30"/>
      <c r="J466" s="30"/>
      <c r="K466" s="30" t="str">
        <f>IFERROR(VLOOKUP(C466,T_CÓDIGO[#All],3,FALSE),"")</f>
        <v/>
      </c>
      <c r="L466" s="28"/>
      <c r="M466" s="28"/>
      <c r="N466" s="30"/>
    </row>
    <row r="467" spans="1:14" s="2" customFormat="1" ht="15" thickBot="1" x14ac:dyDescent="0.35">
      <c r="A467" s="29"/>
      <c r="B467" s="30">
        <f t="shared" si="7"/>
        <v>1</v>
      </c>
      <c r="C467" s="28"/>
      <c r="D467" s="35" t="str">
        <f>IFERROR(VLOOKUP(C467,T_CÓDIGO[#All],4,FALSE),"")</f>
        <v/>
      </c>
      <c r="E467" s="30" t="str">
        <f>IFERROR(VLOOKUP(C467,T_CÓDIGO[#All],6,FALSE),"")</f>
        <v/>
      </c>
      <c r="F467" s="28"/>
      <c r="G467" s="30"/>
      <c r="H467" s="28"/>
      <c r="I467" s="30"/>
      <c r="J467" s="30"/>
      <c r="K467" s="30" t="str">
        <f>IFERROR(VLOOKUP(C467,T_CÓDIGO[#All],3,FALSE),"")</f>
        <v/>
      </c>
      <c r="L467" s="28"/>
      <c r="M467" s="28"/>
      <c r="N467" s="30"/>
    </row>
    <row r="468" spans="1:14" s="2" customFormat="1" ht="15" thickBot="1" x14ac:dyDescent="0.35">
      <c r="A468" s="29"/>
      <c r="B468" s="30">
        <f t="shared" si="7"/>
        <v>1</v>
      </c>
      <c r="C468" s="28"/>
      <c r="D468" s="35" t="str">
        <f>IFERROR(VLOOKUP(C468,T_CÓDIGO[#All],4,FALSE),"")</f>
        <v/>
      </c>
      <c r="E468" s="30" t="str">
        <f>IFERROR(VLOOKUP(C468,T_CÓDIGO[#All],6,FALSE),"")</f>
        <v/>
      </c>
      <c r="F468" s="28"/>
      <c r="G468" s="30"/>
      <c r="H468" s="28"/>
      <c r="I468" s="30"/>
      <c r="J468" s="30"/>
      <c r="K468" s="30" t="str">
        <f>IFERROR(VLOOKUP(C468,T_CÓDIGO[#All],3,FALSE),"")</f>
        <v/>
      </c>
      <c r="L468" s="28"/>
      <c r="M468" s="28"/>
      <c r="N468" s="30"/>
    </row>
    <row r="469" spans="1:14" s="2" customFormat="1" ht="15" thickBot="1" x14ac:dyDescent="0.35">
      <c r="A469" s="29"/>
      <c r="B469" s="30">
        <f t="shared" si="7"/>
        <v>1</v>
      </c>
      <c r="C469" s="28"/>
      <c r="D469" s="35" t="str">
        <f>IFERROR(VLOOKUP(C469,T_CÓDIGO[#All],4,FALSE),"")</f>
        <v/>
      </c>
      <c r="E469" s="30" t="str">
        <f>IFERROR(VLOOKUP(C469,T_CÓDIGO[#All],6,FALSE),"")</f>
        <v/>
      </c>
      <c r="F469" s="28"/>
      <c r="G469" s="30"/>
      <c r="H469" s="28"/>
      <c r="I469" s="30"/>
      <c r="J469" s="30"/>
      <c r="K469" s="30" t="str">
        <f>IFERROR(VLOOKUP(C469,T_CÓDIGO[#All],3,FALSE),"")</f>
        <v/>
      </c>
      <c r="L469" s="28"/>
      <c r="M469" s="28"/>
      <c r="N469" s="30"/>
    </row>
    <row r="470" spans="1:14" s="2" customFormat="1" ht="15" thickBot="1" x14ac:dyDescent="0.35">
      <c r="A470" s="29"/>
      <c r="B470" s="30">
        <f t="shared" si="7"/>
        <v>1</v>
      </c>
      <c r="C470" s="28"/>
      <c r="D470" s="35" t="str">
        <f>IFERROR(VLOOKUP(C470,T_CÓDIGO[#All],4,FALSE),"")</f>
        <v/>
      </c>
      <c r="E470" s="30" t="str">
        <f>IFERROR(VLOOKUP(C470,T_CÓDIGO[#All],6,FALSE),"")</f>
        <v/>
      </c>
      <c r="F470" s="28"/>
      <c r="G470" s="30"/>
      <c r="H470" s="28"/>
      <c r="I470" s="30"/>
      <c r="J470" s="30"/>
      <c r="K470" s="30" t="str">
        <f>IFERROR(VLOOKUP(C470,T_CÓDIGO[#All],3,FALSE),"")</f>
        <v/>
      </c>
      <c r="L470" s="28"/>
      <c r="M470" s="28"/>
      <c r="N470" s="30"/>
    </row>
    <row r="471" spans="1:14" s="2" customFormat="1" ht="15" thickBot="1" x14ac:dyDescent="0.35">
      <c r="A471" s="29"/>
      <c r="B471" s="30">
        <f t="shared" si="7"/>
        <v>1</v>
      </c>
      <c r="C471" s="28"/>
      <c r="D471" s="35" t="str">
        <f>IFERROR(VLOOKUP(C471,T_CÓDIGO[#All],4,FALSE),"")</f>
        <v/>
      </c>
      <c r="E471" s="30" t="str">
        <f>IFERROR(VLOOKUP(C471,T_CÓDIGO[#All],6,FALSE),"")</f>
        <v/>
      </c>
      <c r="F471" s="28"/>
      <c r="G471" s="30"/>
      <c r="H471" s="28"/>
      <c r="I471" s="30"/>
      <c r="J471" s="30"/>
      <c r="K471" s="30" t="str">
        <f>IFERROR(VLOOKUP(C471,T_CÓDIGO[#All],3,FALSE),"")</f>
        <v/>
      </c>
      <c r="L471" s="28"/>
      <c r="M471" s="28"/>
      <c r="N471" s="30"/>
    </row>
    <row r="472" spans="1:14" s="2" customFormat="1" ht="15" thickBot="1" x14ac:dyDescent="0.35">
      <c r="A472" s="29"/>
      <c r="B472" s="30">
        <f t="shared" si="7"/>
        <v>1</v>
      </c>
      <c r="C472" s="28"/>
      <c r="D472" s="35" t="str">
        <f>IFERROR(VLOOKUP(C472,T_CÓDIGO[#All],4,FALSE),"")</f>
        <v/>
      </c>
      <c r="E472" s="30" t="str">
        <f>IFERROR(VLOOKUP(C472,T_CÓDIGO[#All],6,FALSE),"")</f>
        <v/>
      </c>
      <c r="F472" s="28"/>
      <c r="G472" s="30"/>
      <c r="H472" s="28"/>
      <c r="I472" s="30"/>
      <c r="J472" s="30"/>
      <c r="K472" s="30" t="str">
        <f>IFERROR(VLOOKUP(C472,T_CÓDIGO[#All],3,FALSE),"")</f>
        <v/>
      </c>
      <c r="L472" s="28"/>
      <c r="M472" s="28"/>
      <c r="N472" s="30"/>
    </row>
    <row r="473" spans="1:14" s="2" customFormat="1" ht="15" thickBot="1" x14ac:dyDescent="0.35">
      <c r="A473" s="29"/>
      <c r="B473" s="30">
        <f t="shared" si="7"/>
        <v>1</v>
      </c>
      <c r="C473" s="28"/>
      <c r="D473" s="35" t="str">
        <f>IFERROR(VLOOKUP(C473,T_CÓDIGO[#All],4,FALSE),"")</f>
        <v/>
      </c>
      <c r="E473" s="30" t="str">
        <f>IFERROR(VLOOKUP(C473,T_CÓDIGO[#All],6,FALSE),"")</f>
        <v/>
      </c>
      <c r="F473" s="28"/>
      <c r="G473" s="30"/>
      <c r="H473" s="28"/>
      <c r="I473" s="30"/>
      <c r="J473" s="30"/>
      <c r="K473" s="30" t="str">
        <f>IFERROR(VLOOKUP(C473,T_CÓDIGO[#All],3,FALSE),"")</f>
        <v/>
      </c>
      <c r="L473" s="28"/>
      <c r="M473" s="28"/>
      <c r="N473" s="30"/>
    </row>
    <row r="474" spans="1:14" s="2" customFormat="1" ht="15" thickBot="1" x14ac:dyDescent="0.35">
      <c r="A474" s="29"/>
      <c r="B474" s="30">
        <f t="shared" si="7"/>
        <v>1</v>
      </c>
      <c r="C474" s="28"/>
      <c r="D474" s="35" t="str">
        <f>IFERROR(VLOOKUP(C474,T_CÓDIGO[#All],4,FALSE),"")</f>
        <v/>
      </c>
      <c r="E474" s="30" t="str">
        <f>IFERROR(VLOOKUP(C474,T_CÓDIGO[#All],6,FALSE),"")</f>
        <v/>
      </c>
      <c r="F474" s="28"/>
      <c r="G474" s="30"/>
      <c r="H474" s="28"/>
      <c r="I474" s="30"/>
      <c r="J474" s="30"/>
      <c r="K474" s="30" t="str">
        <f>IFERROR(VLOOKUP(C474,T_CÓDIGO[#All],3,FALSE),"")</f>
        <v/>
      </c>
      <c r="L474" s="28"/>
      <c r="M474" s="28"/>
      <c r="N474" s="30"/>
    </row>
    <row r="475" spans="1:14" s="2" customFormat="1" ht="15" thickBot="1" x14ac:dyDescent="0.35">
      <c r="A475" s="29"/>
      <c r="B475" s="30">
        <f t="shared" si="7"/>
        <v>1</v>
      </c>
      <c r="C475" s="28"/>
      <c r="D475" s="35" t="str">
        <f>IFERROR(VLOOKUP(C475,T_CÓDIGO[#All],4,FALSE),"")</f>
        <v/>
      </c>
      <c r="E475" s="30" t="str">
        <f>IFERROR(VLOOKUP(C475,T_CÓDIGO[#All],6,FALSE),"")</f>
        <v/>
      </c>
      <c r="F475" s="28"/>
      <c r="G475" s="30"/>
      <c r="H475" s="28"/>
      <c r="I475" s="30"/>
      <c r="J475" s="30"/>
      <c r="K475" s="30" t="str">
        <f>IFERROR(VLOOKUP(C475,T_CÓDIGO[#All],3,FALSE),"")</f>
        <v/>
      </c>
      <c r="L475" s="28"/>
      <c r="M475" s="28"/>
      <c r="N475" s="30"/>
    </row>
    <row r="476" spans="1:14" s="2" customFormat="1" ht="15" thickBot="1" x14ac:dyDescent="0.35">
      <c r="A476" s="29"/>
      <c r="B476" s="30">
        <f t="shared" si="7"/>
        <v>1</v>
      </c>
      <c r="C476" s="28"/>
      <c r="D476" s="35" t="str">
        <f>IFERROR(VLOOKUP(C476,T_CÓDIGO[#All],4,FALSE),"")</f>
        <v/>
      </c>
      <c r="E476" s="30" t="str">
        <f>IFERROR(VLOOKUP(C476,T_CÓDIGO[#All],6,FALSE),"")</f>
        <v/>
      </c>
      <c r="F476" s="28"/>
      <c r="G476" s="30"/>
      <c r="H476" s="28"/>
      <c r="I476" s="30"/>
      <c r="J476" s="30"/>
      <c r="K476" s="30" t="str">
        <f>IFERROR(VLOOKUP(C476,T_CÓDIGO[#All],3,FALSE),"")</f>
        <v/>
      </c>
      <c r="L476" s="28"/>
      <c r="M476" s="28"/>
      <c r="N476" s="30"/>
    </row>
    <row r="477" spans="1:14" s="2" customFormat="1" ht="15" thickBot="1" x14ac:dyDescent="0.35">
      <c r="A477" s="29"/>
      <c r="B477" s="30">
        <f t="shared" si="7"/>
        <v>1</v>
      </c>
      <c r="C477" s="28"/>
      <c r="D477" s="35" t="str">
        <f>IFERROR(VLOOKUP(C477,T_CÓDIGO[#All],4,FALSE),"")</f>
        <v/>
      </c>
      <c r="E477" s="30" t="str">
        <f>IFERROR(VLOOKUP(C477,T_CÓDIGO[#All],6,FALSE),"")</f>
        <v/>
      </c>
      <c r="F477" s="28"/>
      <c r="G477" s="30"/>
      <c r="H477" s="28"/>
      <c r="I477" s="30"/>
      <c r="J477" s="30"/>
      <c r="K477" s="30" t="str">
        <f>IFERROR(VLOOKUP(C477,T_CÓDIGO[#All],3,FALSE),"")</f>
        <v/>
      </c>
      <c r="L477" s="28"/>
      <c r="M477" s="28"/>
      <c r="N477" s="30"/>
    </row>
    <row r="478" spans="1:14" s="2" customFormat="1" ht="15" thickBot="1" x14ac:dyDescent="0.35">
      <c r="A478" s="29"/>
      <c r="B478" s="30">
        <f t="shared" si="7"/>
        <v>1</v>
      </c>
      <c r="C478" s="28"/>
      <c r="D478" s="35" t="str">
        <f>IFERROR(VLOOKUP(C478,T_CÓDIGO[#All],4,FALSE),"")</f>
        <v/>
      </c>
      <c r="E478" s="30" t="str">
        <f>IFERROR(VLOOKUP(C478,T_CÓDIGO[#All],6,FALSE),"")</f>
        <v/>
      </c>
      <c r="F478" s="28"/>
      <c r="G478" s="30"/>
      <c r="H478" s="28"/>
      <c r="I478" s="30"/>
      <c r="J478" s="30"/>
      <c r="K478" s="30" t="str">
        <f>IFERROR(VLOOKUP(C478,T_CÓDIGO[#All],3,FALSE),"")</f>
        <v/>
      </c>
      <c r="L478" s="28"/>
      <c r="M478" s="28"/>
      <c r="N478" s="30"/>
    </row>
    <row r="479" spans="1:14" s="2" customFormat="1" ht="15" thickBot="1" x14ac:dyDescent="0.35">
      <c r="A479" s="29"/>
      <c r="B479" s="30">
        <f t="shared" si="7"/>
        <v>1</v>
      </c>
      <c r="C479" s="28"/>
      <c r="D479" s="35" t="str">
        <f>IFERROR(VLOOKUP(C479,T_CÓDIGO[#All],4,FALSE),"")</f>
        <v/>
      </c>
      <c r="E479" s="30" t="str">
        <f>IFERROR(VLOOKUP(C479,T_CÓDIGO[#All],6,FALSE),"")</f>
        <v/>
      </c>
      <c r="F479" s="28"/>
      <c r="G479" s="30"/>
      <c r="H479" s="28"/>
      <c r="I479" s="30"/>
      <c r="J479" s="30"/>
      <c r="K479" s="30" t="str">
        <f>IFERROR(VLOOKUP(C479,T_CÓDIGO[#All],3,FALSE),"")</f>
        <v/>
      </c>
      <c r="L479" s="28"/>
      <c r="M479" s="28"/>
      <c r="N479" s="30"/>
    </row>
    <row r="480" spans="1:14" s="2" customFormat="1" ht="15" thickBot="1" x14ac:dyDescent="0.35">
      <c r="A480" s="29"/>
      <c r="B480" s="30">
        <f t="shared" si="7"/>
        <v>1</v>
      </c>
      <c r="C480" s="28"/>
      <c r="D480" s="35" t="str">
        <f>IFERROR(VLOOKUP(C480,T_CÓDIGO[#All],4,FALSE),"")</f>
        <v/>
      </c>
      <c r="E480" s="30" t="str">
        <f>IFERROR(VLOOKUP(C480,T_CÓDIGO[#All],6,FALSE),"")</f>
        <v/>
      </c>
      <c r="F480" s="28"/>
      <c r="G480" s="30"/>
      <c r="H480" s="28"/>
      <c r="I480" s="30"/>
      <c r="J480" s="30"/>
      <c r="K480" s="30" t="str">
        <f>IFERROR(VLOOKUP(C480,T_CÓDIGO[#All],3,FALSE),"")</f>
        <v/>
      </c>
      <c r="L480" s="28"/>
      <c r="M480" s="28"/>
      <c r="N480" s="30"/>
    </row>
    <row r="481" spans="1:14" s="2" customFormat="1" ht="15" thickBot="1" x14ac:dyDescent="0.35">
      <c r="A481" s="29"/>
      <c r="B481" s="30">
        <f t="shared" si="7"/>
        <v>1</v>
      </c>
      <c r="C481" s="28"/>
      <c r="D481" s="35" t="str">
        <f>IFERROR(VLOOKUP(C481,T_CÓDIGO[#All],4,FALSE),"")</f>
        <v/>
      </c>
      <c r="E481" s="30" t="str">
        <f>IFERROR(VLOOKUP(C481,T_CÓDIGO[#All],6,FALSE),"")</f>
        <v/>
      </c>
      <c r="F481" s="28"/>
      <c r="G481" s="30"/>
      <c r="H481" s="28"/>
      <c r="I481" s="30"/>
      <c r="J481" s="30"/>
      <c r="K481" s="30" t="str">
        <f>IFERROR(VLOOKUP(C481,T_CÓDIGO[#All],3,FALSE),"")</f>
        <v/>
      </c>
      <c r="L481" s="28"/>
      <c r="M481" s="28"/>
      <c r="N481" s="30"/>
    </row>
    <row r="482" spans="1:14" s="2" customFormat="1" ht="15" thickBot="1" x14ac:dyDescent="0.35">
      <c r="A482" s="29"/>
      <c r="B482" s="30">
        <f t="shared" si="7"/>
        <v>1</v>
      </c>
      <c r="C482" s="28"/>
      <c r="D482" s="35" t="str">
        <f>IFERROR(VLOOKUP(C482,T_CÓDIGO[#All],4,FALSE),"")</f>
        <v/>
      </c>
      <c r="E482" s="30" t="str">
        <f>IFERROR(VLOOKUP(C482,T_CÓDIGO[#All],6,FALSE),"")</f>
        <v/>
      </c>
      <c r="F482" s="28"/>
      <c r="G482" s="30"/>
      <c r="H482" s="28"/>
      <c r="I482" s="30"/>
      <c r="J482" s="30"/>
      <c r="K482" s="30" t="str">
        <f>IFERROR(VLOOKUP(C482,T_CÓDIGO[#All],3,FALSE),"")</f>
        <v/>
      </c>
      <c r="L482" s="28"/>
      <c r="M482" s="28"/>
      <c r="N482" s="30"/>
    </row>
    <row r="483" spans="1:14" s="2" customFormat="1" ht="15" thickBot="1" x14ac:dyDescent="0.35">
      <c r="A483" s="29"/>
      <c r="B483" s="30">
        <f t="shared" si="7"/>
        <v>1</v>
      </c>
      <c r="C483" s="28"/>
      <c r="D483" s="35" t="str">
        <f>IFERROR(VLOOKUP(C483,T_CÓDIGO[#All],4,FALSE),"")</f>
        <v/>
      </c>
      <c r="E483" s="30" t="str">
        <f>IFERROR(VLOOKUP(C483,T_CÓDIGO[#All],6,FALSE),"")</f>
        <v/>
      </c>
      <c r="F483" s="28"/>
      <c r="G483" s="30"/>
      <c r="H483" s="28"/>
      <c r="I483" s="30"/>
      <c r="J483" s="30"/>
      <c r="K483" s="30" t="str">
        <f>IFERROR(VLOOKUP(C483,T_CÓDIGO[#All],3,FALSE),"")</f>
        <v/>
      </c>
      <c r="L483" s="28"/>
      <c r="M483" s="28"/>
      <c r="N483" s="30"/>
    </row>
    <row r="484" spans="1:14" s="2" customFormat="1" ht="15" thickBot="1" x14ac:dyDescent="0.35">
      <c r="A484" s="29"/>
      <c r="B484" s="30">
        <f t="shared" si="7"/>
        <v>1</v>
      </c>
      <c r="C484" s="28"/>
      <c r="D484" s="35" t="str">
        <f>IFERROR(VLOOKUP(C484,T_CÓDIGO[#All],4,FALSE),"")</f>
        <v/>
      </c>
      <c r="E484" s="30" t="str">
        <f>IFERROR(VLOOKUP(C484,T_CÓDIGO[#All],6,FALSE),"")</f>
        <v/>
      </c>
      <c r="F484" s="28"/>
      <c r="G484" s="30"/>
      <c r="H484" s="28"/>
      <c r="I484" s="30"/>
      <c r="J484" s="30"/>
      <c r="K484" s="30" t="str">
        <f>IFERROR(VLOOKUP(C484,T_CÓDIGO[#All],3,FALSE),"")</f>
        <v/>
      </c>
      <c r="L484" s="28"/>
      <c r="M484" s="28"/>
      <c r="N484" s="30"/>
    </row>
    <row r="485" spans="1:14" s="2" customFormat="1" ht="15" thickBot="1" x14ac:dyDescent="0.35">
      <c r="A485" s="29"/>
      <c r="B485" s="30">
        <f t="shared" si="7"/>
        <v>1</v>
      </c>
      <c r="C485" s="28"/>
      <c r="D485" s="35" t="str">
        <f>IFERROR(VLOOKUP(C485,T_CÓDIGO[#All],4,FALSE),"")</f>
        <v/>
      </c>
      <c r="E485" s="30" t="str">
        <f>IFERROR(VLOOKUP(C485,T_CÓDIGO[#All],6,FALSE),"")</f>
        <v/>
      </c>
      <c r="F485" s="28"/>
      <c r="G485" s="30"/>
      <c r="H485" s="28"/>
      <c r="I485" s="30"/>
      <c r="J485" s="30"/>
      <c r="K485" s="30" t="str">
        <f>IFERROR(VLOOKUP(C485,T_CÓDIGO[#All],3,FALSE),"")</f>
        <v/>
      </c>
      <c r="L485" s="28"/>
      <c r="M485" s="28"/>
      <c r="N485" s="30"/>
    </row>
    <row r="486" spans="1:14" s="2" customFormat="1" ht="15" thickBot="1" x14ac:dyDescent="0.35">
      <c r="A486" s="29"/>
      <c r="B486" s="30">
        <f t="shared" si="7"/>
        <v>1</v>
      </c>
      <c r="C486" s="28"/>
      <c r="D486" s="35" t="str">
        <f>IFERROR(VLOOKUP(C486,T_CÓDIGO[#All],4,FALSE),"")</f>
        <v/>
      </c>
      <c r="E486" s="30" t="str">
        <f>IFERROR(VLOOKUP(C486,T_CÓDIGO[#All],6,FALSE),"")</f>
        <v/>
      </c>
      <c r="F486" s="28"/>
      <c r="G486" s="30"/>
      <c r="H486" s="28"/>
      <c r="I486" s="30"/>
      <c r="J486" s="30"/>
      <c r="K486" s="30" t="str">
        <f>IFERROR(VLOOKUP(C486,T_CÓDIGO[#All],3,FALSE),"")</f>
        <v/>
      </c>
      <c r="L486" s="28"/>
      <c r="M486" s="28"/>
      <c r="N486" s="30"/>
    </row>
    <row r="487" spans="1:14" s="2" customFormat="1" ht="15" thickBot="1" x14ac:dyDescent="0.35">
      <c r="A487" s="29"/>
      <c r="B487" s="30">
        <f t="shared" si="7"/>
        <v>1</v>
      </c>
      <c r="C487" s="28"/>
      <c r="D487" s="35" t="str">
        <f>IFERROR(VLOOKUP(C487,T_CÓDIGO[#All],4,FALSE),"")</f>
        <v/>
      </c>
      <c r="E487" s="30" t="str">
        <f>IFERROR(VLOOKUP(C487,T_CÓDIGO[#All],6,FALSE),"")</f>
        <v/>
      </c>
      <c r="F487" s="28"/>
      <c r="G487" s="30"/>
      <c r="H487" s="28"/>
      <c r="I487" s="30"/>
      <c r="J487" s="30"/>
      <c r="K487" s="30" t="str">
        <f>IFERROR(VLOOKUP(C487,T_CÓDIGO[#All],3,FALSE),"")</f>
        <v/>
      </c>
      <c r="L487" s="28"/>
      <c r="M487" s="28"/>
      <c r="N487" s="30"/>
    </row>
    <row r="488" spans="1:14" s="2" customFormat="1" ht="15" thickBot="1" x14ac:dyDescent="0.35">
      <c r="A488" s="29"/>
      <c r="B488" s="30">
        <f t="shared" si="7"/>
        <v>1</v>
      </c>
      <c r="C488" s="28"/>
      <c r="D488" s="35" t="str">
        <f>IFERROR(VLOOKUP(C488,T_CÓDIGO[#All],4,FALSE),"")</f>
        <v/>
      </c>
      <c r="E488" s="30" t="str">
        <f>IFERROR(VLOOKUP(C488,T_CÓDIGO[#All],6,FALSE),"")</f>
        <v/>
      </c>
      <c r="F488" s="28"/>
      <c r="G488" s="30"/>
      <c r="H488" s="28"/>
      <c r="I488" s="30"/>
      <c r="J488" s="30"/>
      <c r="K488" s="30" t="str">
        <f>IFERROR(VLOOKUP(C488,T_CÓDIGO[#All],3,FALSE),"")</f>
        <v/>
      </c>
      <c r="L488" s="28"/>
      <c r="M488" s="28"/>
      <c r="N488" s="30"/>
    </row>
    <row r="489" spans="1:14" s="2" customFormat="1" ht="15" thickBot="1" x14ac:dyDescent="0.35">
      <c r="A489" s="29"/>
      <c r="B489" s="30">
        <f t="shared" si="7"/>
        <v>1</v>
      </c>
      <c r="C489" s="28"/>
      <c r="D489" s="35" t="str">
        <f>IFERROR(VLOOKUP(C489,T_CÓDIGO[#All],4,FALSE),"")</f>
        <v/>
      </c>
      <c r="E489" s="30" t="str">
        <f>IFERROR(VLOOKUP(C489,T_CÓDIGO[#All],6,FALSE),"")</f>
        <v/>
      </c>
      <c r="F489" s="28"/>
      <c r="G489" s="30"/>
      <c r="H489" s="28"/>
      <c r="I489" s="30"/>
      <c r="J489" s="30"/>
      <c r="K489" s="30" t="str">
        <f>IFERROR(VLOOKUP(C489,T_CÓDIGO[#All],3,FALSE),"")</f>
        <v/>
      </c>
      <c r="L489" s="28"/>
      <c r="M489" s="28"/>
      <c r="N489" s="30"/>
    </row>
    <row r="490" spans="1:14" s="2" customFormat="1" ht="15" thickBot="1" x14ac:dyDescent="0.35">
      <c r="A490" s="29"/>
      <c r="B490" s="30">
        <f t="shared" si="7"/>
        <v>1</v>
      </c>
      <c r="C490" s="28"/>
      <c r="D490" s="35" t="str">
        <f>IFERROR(VLOOKUP(C490,T_CÓDIGO[#All],4,FALSE),"")</f>
        <v/>
      </c>
      <c r="E490" s="30" t="str">
        <f>IFERROR(VLOOKUP(C490,T_CÓDIGO[#All],6,FALSE),"")</f>
        <v/>
      </c>
      <c r="F490" s="28"/>
      <c r="G490" s="30"/>
      <c r="H490" s="28"/>
      <c r="I490" s="30"/>
      <c r="J490" s="30"/>
      <c r="K490" s="30" t="str">
        <f>IFERROR(VLOOKUP(C490,T_CÓDIGO[#All],3,FALSE),"")</f>
        <v/>
      </c>
      <c r="L490" s="28"/>
      <c r="M490" s="28"/>
      <c r="N490" s="30"/>
    </row>
    <row r="491" spans="1:14" s="2" customFormat="1" ht="15" thickBot="1" x14ac:dyDescent="0.35">
      <c r="A491" s="29"/>
      <c r="B491" s="30">
        <f t="shared" si="7"/>
        <v>1</v>
      </c>
      <c r="C491" s="28"/>
      <c r="D491" s="35" t="str">
        <f>IFERROR(VLOOKUP(C491,T_CÓDIGO[#All],4,FALSE),"")</f>
        <v/>
      </c>
      <c r="E491" s="30" t="str">
        <f>IFERROR(VLOOKUP(C491,T_CÓDIGO[#All],6,FALSE),"")</f>
        <v/>
      </c>
      <c r="F491" s="28"/>
      <c r="G491" s="30"/>
      <c r="H491" s="28"/>
      <c r="I491" s="30"/>
      <c r="J491" s="30"/>
      <c r="K491" s="30" t="str">
        <f>IFERROR(VLOOKUP(C491,T_CÓDIGO[#All],3,FALSE),"")</f>
        <v/>
      </c>
      <c r="L491" s="28"/>
      <c r="M491" s="28"/>
      <c r="N491" s="30"/>
    </row>
    <row r="492" spans="1:14" s="2" customFormat="1" ht="15" thickBot="1" x14ac:dyDescent="0.35">
      <c r="A492" s="29"/>
      <c r="B492" s="30">
        <f t="shared" si="7"/>
        <v>1</v>
      </c>
      <c r="C492" s="28"/>
      <c r="D492" s="35" t="str">
        <f>IFERROR(VLOOKUP(C492,T_CÓDIGO[#All],4,FALSE),"")</f>
        <v/>
      </c>
      <c r="E492" s="30" t="str">
        <f>IFERROR(VLOOKUP(C492,T_CÓDIGO[#All],6,FALSE),"")</f>
        <v/>
      </c>
      <c r="F492" s="28"/>
      <c r="G492" s="30"/>
      <c r="H492" s="28"/>
      <c r="I492" s="30"/>
      <c r="J492" s="30"/>
      <c r="K492" s="30" t="str">
        <f>IFERROR(VLOOKUP(C492,T_CÓDIGO[#All],3,FALSE),"")</f>
        <v/>
      </c>
      <c r="L492" s="28"/>
      <c r="M492" s="28"/>
      <c r="N492" s="30"/>
    </row>
    <row r="493" spans="1:14" s="2" customFormat="1" ht="15" thickBot="1" x14ac:dyDescent="0.35">
      <c r="A493" s="29"/>
      <c r="B493" s="30">
        <f t="shared" si="7"/>
        <v>1</v>
      </c>
      <c r="C493" s="28"/>
      <c r="D493" s="35" t="str">
        <f>IFERROR(VLOOKUP(C493,T_CÓDIGO[#All],4,FALSE),"")</f>
        <v/>
      </c>
      <c r="E493" s="30" t="str">
        <f>IFERROR(VLOOKUP(C493,T_CÓDIGO[#All],6,FALSE),"")</f>
        <v/>
      </c>
      <c r="F493" s="28"/>
      <c r="G493" s="30"/>
      <c r="H493" s="28"/>
      <c r="I493" s="30"/>
      <c r="J493" s="30"/>
      <c r="K493" s="30" t="str">
        <f>IFERROR(VLOOKUP(C493,T_CÓDIGO[#All],3,FALSE),"")</f>
        <v/>
      </c>
      <c r="L493" s="28"/>
      <c r="M493" s="28"/>
      <c r="N493" s="30"/>
    </row>
    <row r="494" spans="1:14" s="2" customFormat="1" ht="15" thickBot="1" x14ac:dyDescent="0.35">
      <c r="A494" s="29"/>
      <c r="B494" s="30">
        <f t="shared" si="7"/>
        <v>1</v>
      </c>
      <c r="C494" s="28"/>
      <c r="D494" s="35" t="str">
        <f>IFERROR(VLOOKUP(C494,T_CÓDIGO[#All],4,FALSE),"")</f>
        <v/>
      </c>
      <c r="E494" s="30" t="str">
        <f>IFERROR(VLOOKUP(C494,T_CÓDIGO[#All],6,FALSE),"")</f>
        <v/>
      </c>
      <c r="F494" s="28"/>
      <c r="G494" s="30"/>
      <c r="H494" s="28"/>
      <c r="I494" s="30"/>
      <c r="J494" s="30"/>
      <c r="K494" s="30" t="str">
        <f>IFERROR(VLOOKUP(C494,T_CÓDIGO[#All],3,FALSE),"")</f>
        <v/>
      </c>
      <c r="L494" s="28"/>
      <c r="M494" s="28"/>
      <c r="N494" s="30"/>
    </row>
    <row r="495" spans="1:14" s="2" customFormat="1" ht="15" thickBot="1" x14ac:dyDescent="0.35">
      <c r="A495" s="29"/>
      <c r="B495" s="30">
        <f t="shared" si="7"/>
        <v>1</v>
      </c>
      <c r="C495" s="28"/>
      <c r="D495" s="35" t="str">
        <f>IFERROR(VLOOKUP(C495,T_CÓDIGO[#All],4,FALSE),"")</f>
        <v/>
      </c>
      <c r="E495" s="30" t="str">
        <f>IFERROR(VLOOKUP(C495,T_CÓDIGO[#All],6,FALSE),"")</f>
        <v/>
      </c>
      <c r="F495" s="28"/>
      <c r="G495" s="30"/>
      <c r="H495" s="28"/>
      <c r="I495" s="30"/>
      <c r="J495" s="30"/>
      <c r="K495" s="30" t="str">
        <f>IFERROR(VLOOKUP(C495,T_CÓDIGO[#All],3,FALSE),"")</f>
        <v/>
      </c>
      <c r="L495" s="28"/>
      <c r="M495" s="28"/>
      <c r="N495" s="30"/>
    </row>
    <row r="496" spans="1:14" s="2" customFormat="1" ht="15" thickBot="1" x14ac:dyDescent="0.35">
      <c r="A496" s="29"/>
      <c r="B496" s="30">
        <f t="shared" si="7"/>
        <v>1</v>
      </c>
      <c r="C496" s="28"/>
      <c r="D496" s="35" t="str">
        <f>IFERROR(VLOOKUP(C496,T_CÓDIGO[#All],4,FALSE),"")</f>
        <v/>
      </c>
      <c r="E496" s="30" t="str">
        <f>IFERROR(VLOOKUP(C496,T_CÓDIGO[#All],6,FALSE),"")</f>
        <v/>
      </c>
      <c r="F496" s="28"/>
      <c r="G496" s="30"/>
      <c r="H496" s="28"/>
      <c r="I496" s="30"/>
      <c r="J496" s="30"/>
      <c r="K496" s="30" t="str">
        <f>IFERROR(VLOOKUP(C496,T_CÓDIGO[#All],3,FALSE),"")</f>
        <v/>
      </c>
      <c r="L496" s="28"/>
      <c r="M496" s="28"/>
      <c r="N496" s="30"/>
    </row>
    <row r="497" spans="1:14" s="2" customFormat="1" ht="15" thickBot="1" x14ac:dyDescent="0.35">
      <c r="A497" s="29"/>
      <c r="B497" s="30">
        <f t="shared" si="7"/>
        <v>1</v>
      </c>
      <c r="C497" s="28"/>
      <c r="D497" s="35" t="str">
        <f>IFERROR(VLOOKUP(C497,T_CÓDIGO[#All],4,FALSE),"")</f>
        <v/>
      </c>
      <c r="E497" s="30" t="str">
        <f>IFERROR(VLOOKUP(C497,T_CÓDIGO[#All],6,FALSE),"")</f>
        <v/>
      </c>
      <c r="F497" s="28"/>
      <c r="G497" s="30"/>
      <c r="H497" s="28"/>
      <c r="I497" s="30"/>
      <c r="J497" s="30"/>
      <c r="K497" s="30" t="str">
        <f>IFERROR(VLOOKUP(C497,T_CÓDIGO[#All],3,FALSE),"")</f>
        <v/>
      </c>
      <c r="L497" s="28"/>
      <c r="M497" s="28"/>
      <c r="N497" s="30"/>
    </row>
    <row r="498" spans="1:14" s="2" customFormat="1" ht="15" thickBot="1" x14ac:dyDescent="0.35">
      <c r="A498" s="29"/>
      <c r="B498" s="30">
        <f t="shared" si="7"/>
        <v>1</v>
      </c>
      <c r="C498" s="28"/>
      <c r="D498" s="35" t="str">
        <f>IFERROR(VLOOKUP(C498,T_CÓDIGO[#All],4,FALSE),"")</f>
        <v/>
      </c>
      <c r="E498" s="30" t="str">
        <f>IFERROR(VLOOKUP(C498,T_CÓDIGO[#All],6,FALSE),"")</f>
        <v/>
      </c>
      <c r="F498" s="28"/>
      <c r="G498" s="30"/>
      <c r="H498" s="28"/>
      <c r="I498" s="30"/>
      <c r="J498" s="30"/>
      <c r="K498" s="30" t="str">
        <f>IFERROR(VLOOKUP(C498,T_CÓDIGO[#All],3,FALSE),"")</f>
        <v/>
      </c>
      <c r="L498" s="28"/>
      <c r="M498" s="28"/>
      <c r="N498" s="30"/>
    </row>
    <row r="499" spans="1:14" s="2" customFormat="1" ht="15" thickBot="1" x14ac:dyDescent="0.35">
      <c r="A499" s="29"/>
      <c r="B499" s="30">
        <f t="shared" si="7"/>
        <v>1</v>
      </c>
      <c r="C499" s="28"/>
      <c r="D499" s="35" t="str">
        <f>IFERROR(VLOOKUP(C499,T_CÓDIGO[#All],4,FALSE),"")</f>
        <v/>
      </c>
      <c r="E499" s="30" t="str">
        <f>IFERROR(VLOOKUP(C499,T_CÓDIGO[#All],6,FALSE),"")</f>
        <v/>
      </c>
      <c r="F499" s="28"/>
      <c r="G499" s="30"/>
      <c r="H499" s="28"/>
      <c r="I499" s="30"/>
      <c r="J499" s="30"/>
      <c r="K499" s="30" t="str">
        <f>IFERROR(VLOOKUP(C499,T_CÓDIGO[#All],3,FALSE),"")</f>
        <v/>
      </c>
      <c r="L499" s="28"/>
      <c r="M499" s="28"/>
      <c r="N499" s="30"/>
    </row>
    <row r="500" spans="1:14" s="2" customFormat="1" ht="15" thickBot="1" x14ac:dyDescent="0.35">
      <c r="A500" s="29"/>
      <c r="B500" s="30">
        <f t="shared" si="7"/>
        <v>1</v>
      </c>
      <c r="C500" s="28"/>
      <c r="D500" s="35" t="str">
        <f>IFERROR(VLOOKUP(C500,T_CÓDIGO[#All],4,FALSE),"")</f>
        <v/>
      </c>
      <c r="E500" s="30" t="str">
        <f>IFERROR(VLOOKUP(C500,T_CÓDIGO[#All],6,FALSE),"")</f>
        <v/>
      </c>
      <c r="F500" s="28"/>
      <c r="G500" s="30"/>
      <c r="H500" s="28"/>
      <c r="I500" s="30"/>
      <c r="J500" s="30"/>
      <c r="K500" s="30" t="str">
        <f>IFERROR(VLOOKUP(C500,T_CÓDIGO[#All],3,FALSE),"")</f>
        <v/>
      </c>
      <c r="L500" s="28"/>
      <c r="M500" s="28"/>
      <c r="N500" s="30"/>
    </row>
    <row r="501" spans="1:14" s="2" customFormat="1" ht="15" thickBot="1" x14ac:dyDescent="0.35">
      <c r="A501" s="29"/>
      <c r="B501" s="30">
        <f t="shared" si="7"/>
        <v>1</v>
      </c>
      <c r="C501" s="28"/>
      <c r="D501" s="35" t="str">
        <f>IFERROR(VLOOKUP(C501,T_CÓDIGO[#All],4,FALSE),"")</f>
        <v/>
      </c>
      <c r="E501" s="30" t="str">
        <f>IFERROR(VLOOKUP(C501,T_CÓDIGO[#All],6,FALSE),"")</f>
        <v/>
      </c>
      <c r="F501" s="28"/>
      <c r="G501" s="30"/>
      <c r="H501" s="28"/>
      <c r="I501" s="30"/>
      <c r="J501" s="30"/>
      <c r="K501" s="30" t="str">
        <f>IFERROR(VLOOKUP(C501,T_CÓDIGO[#All],3,FALSE),"")</f>
        <v/>
      </c>
      <c r="L501" s="28"/>
      <c r="M501" s="28"/>
      <c r="N501" s="30"/>
    </row>
    <row r="502" spans="1:14" s="2" customFormat="1" ht="15" thickBot="1" x14ac:dyDescent="0.35">
      <c r="A502" s="29"/>
      <c r="B502" s="30">
        <f t="shared" si="7"/>
        <v>1</v>
      </c>
      <c r="C502" s="28"/>
      <c r="D502" s="35" t="str">
        <f>IFERROR(VLOOKUP(C502,T_CÓDIGO[#All],4,FALSE),"")</f>
        <v/>
      </c>
      <c r="E502" s="30" t="str">
        <f>IFERROR(VLOOKUP(C502,T_CÓDIGO[#All],6,FALSE),"")</f>
        <v/>
      </c>
      <c r="F502" s="28"/>
      <c r="G502" s="30"/>
      <c r="H502" s="28"/>
      <c r="I502" s="30"/>
      <c r="J502" s="30"/>
      <c r="K502" s="30" t="str">
        <f>IFERROR(VLOOKUP(C502,T_CÓDIGO[#All],3,FALSE),"")</f>
        <v/>
      </c>
      <c r="L502" s="28"/>
      <c r="M502" s="28"/>
      <c r="N502" s="30"/>
    </row>
    <row r="503" spans="1:14" s="2" customFormat="1" ht="15" thickBot="1" x14ac:dyDescent="0.35">
      <c r="A503" s="29"/>
      <c r="B503" s="30">
        <f t="shared" si="7"/>
        <v>1</v>
      </c>
      <c r="C503" s="28"/>
      <c r="D503" s="35" t="str">
        <f>IFERROR(VLOOKUP(C503,T_CÓDIGO[#All],4,FALSE),"")</f>
        <v/>
      </c>
      <c r="E503" s="30" t="str">
        <f>IFERROR(VLOOKUP(C503,T_CÓDIGO[#All],6,FALSE),"")</f>
        <v/>
      </c>
      <c r="F503" s="28"/>
      <c r="G503" s="30"/>
      <c r="H503" s="28"/>
      <c r="I503" s="30"/>
      <c r="J503" s="30"/>
      <c r="K503" s="30" t="str">
        <f>IFERROR(VLOOKUP(C503,T_CÓDIGO[#All],3,FALSE),"")</f>
        <v/>
      </c>
      <c r="L503" s="28"/>
      <c r="M503" s="28"/>
      <c r="N503" s="30"/>
    </row>
    <row r="504" spans="1:14" s="2" customFormat="1" ht="15" thickBot="1" x14ac:dyDescent="0.35">
      <c r="A504" s="29"/>
      <c r="B504" s="30">
        <f t="shared" si="7"/>
        <v>1</v>
      </c>
      <c r="C504" s="28"/>
      <c r="D504" s="35" t="str">
        <f>IFERROR(VLOOKUP(C504,T_CÓDIGO[#All],4,FALSE),"")</f>
        <v/>
      </c>
      <c r="E504" s="30" t="str">
        <f>IFERROR(VLOOKUP(C504,T_CÓDIGO[#All],6,FALSE),"")</f>
        <v/>
      </c>
      <c r="F504" s="28"/>
      <c r="G504" s="30"/>
      <c r="H504" s="28"/>
      <c r="I504" s="30"/>
      <c r="J504" s="30"/>
      <c r="K504" s="30" t="str">
        <f>IFERROR(VLOOKUP(C504,T_CÓDIGO[#All],3,FALSE),"")</f>
        <v/>
      </c>
      <c r="L504" s="28"/>
      <c r="M504" s="28"/>
      <c r="N504" s="30"/>
    </row>
    <row r="505" spans="1:14" s="2" customFormat="1" ht="15" thickBot="1" x14ac:dyDescent="0.35">
      <c r="A505" s="29"/>
      <c r="B505" s="30">
        <f t="shared" si="7"/>
        <v>1</v>
      </c>
      <c r="C505" s="28"/>
      <c r="D505" s="35" t="str">
        <f>IFERROR(VLOOKUP(C505,T_CÓDIGO[#All],4,FALSE),"")</f>
        <v/>
      </c>
      <c r="E505" s="30" t="str">
        <f>IFERROR(VLOOKUP(C505,T_CÓDIGO[#All],6,FALSE),"")</f>
        <v/>
      </c>
      <c r="F505" s="28"/>
      <c r="G505" s="30"/>
      <c r="H505" s="28"/>
      <c r="I505" s="30"/>
      <c r="J505" s="30"/>
      <c r="K505" s="30" t="str">
        <f>IFERROR(VLOOKUP(C505,T_CÓDIGO[#All],3,FALSE),"")</f>
        <v/>
      </c>
      <c r="L505" s="28"/>
      <c r="M505" s="28"/>
      <c r="N505" s="30"/>
    </row>
    <row r="506" spans="1:14" s="2" customFormat="1" ht="15" thickBot="1" x14ac:dyDescent="0.35">
      <c r="A506" s="29"/>
      <c r="B506" s="30">
        <f t="shared" si="7"/>
        <v>1</v>
      </c>
      <c r="C506" s="28"/>
      <c r="D506" s="35" t="str">
        <f>IFERROR(VLOOKUP(C506,T_CÓDIGO[#All],4,FALSE),"")</f>
        <v/>
      </c>
      <c r="E506" s="30" t="str">
        <f>IFERROR(VLOOKUP(C506,T_CÓDIGO[#All],6,FALSE),"")</f>
        <v/>
      </c>
      <c r="F506" s="28"/>
      <c r="G506" s="30"/>
      <c r="H506" s="28"/>
      <c r="I506" s="30"/>
      <c r="J506" s="30"/>
      <c r="K506" s="30" t="str">
        <f>IFERROR(VLOOKUP(C506,T_CÓDIGO[#All],3,FALSE),"")</f>
        <v/>
      </c>
      <c r="L506" s="28"/>
      <c r="M506" s="28"/>
      <c r="N506" s="30"/>
    </row>
    <row r="507" spans="1:14" s="2" customFormat="1" ht="15" thickBot="1" x14ac:dyDescent="0.35">
      <c r="A507" s="29"/>
      <c r="B507" s="30">
        <f t="shared" si="7"/>
        <v>1</v>
      </c>
      <c r="C507" s="28"/>
      <c r="D507" s="35" t="str">
        <f>IFERROR(VLOOKUP(C507,T_CÓDIGO[#All],4,FALSE),"")</f>
        <v/>
      </c>
      <c r="E507" s="30" t="str">
        <f>IFERROR(VLOOKUP(C507,T_CÓDIGO[#All],6,FALSE),"")</f>
        <v/>
      </c>
      <c r="F507" s="28"/>
      <c r="G507" s="30"/>
      <c r="H507" s="28"/>
      <c r="I507" s="30"/>
      <c r="J507" s="30"/>
      <c r="K507" s="30" t="str">
        <f>IFERROR(VLOOKUP(C507,T_CÓDIGO[#All],3,FALSE),"")</f>
        <v/>
      </c>
      <c r="L507" s="28"/>
      <c r="M507" s="28"/>
      <c r="N507" s="30"/>
    </row>
    <row r="508" spans="1:14" s="2" customFormat="1" ht="15" thickBot="1" x14ac:dyDescent="0.35">
      <c r="A508" s="29"/>
      <c r="B508" s="30">
        <f t="shared" si="7"/>
        <v>1</v>
      </c>
      <c r="C508" s="28"/>
      <c r="D508" s="35" t="str">
        <f>IFERROR(VLOOKUP(C508,T_CÓDIGO[#All],4,FALSE),"")</f>
        <v/>
      </c>
      <c r="E508" s="30" t="str">
        <f>IFERROR(VLOOKUP(C508,T_CÓDIGO[#All],6,FALSE),"")</f>
        <v/>
      </c>
      <c r="F508" s="28"/>
      <c r="G508" s="30"/>
      <c r="H508" s="28"/>
      <c r="I508" s="30"/>
      <c r="J508" s="30"/>
      <c r="K508" s="30" t="str">
        <f>IFERROR(VLOOKUP(C508,T_CÓDIGO[#All],3,FALSE),"")</f>
        <v/>
      </c>
      <c r="L508" s="28"/>
      <c r="M508" s="28"/>
      <c r="N508" s="30"/>
    </row>
    <row r="509" spans="1:14" s="2" customFormat="1" ht="15" thickBot="1" x14ac:dyDescent="0.35">
      <c r="A509" s="29"/>
      <c r="B509" s="30">
        <f t="shared" si="7"/>
        <v>1</v>
      </c>
      <c r="C509" s="28"/>
      <c r="D509" s="35" t="str">
        <f>IFERROR(VLOOKUP(C509,T_CÓDIGO[#All],4,FALSE),"")</f>
        <v/>
      </c>
      <c r="E509" s="30" t="str">
        <f>IFERROR(VLOOKUP(C509,T_CÓDIGO[#All],6,FALSE),"")</f>
        <v/>
      </c>
      <c r="F509" s="28"/>
      <c r="G509" s="30"/>
      <c r="H509" s="28"/>
      <c r="I509" s="30"/>
      <c r="J509" s="30"/>
      <c r="K509" s="30" t="str">
        <f>IFERROR(VLOOKUP(C509,T_CÓDIGO[#All],3,FALSE),"")</f>
        <v/>
      </c>
      <c r="L509" s="28"/>
      <c r="M509" s="28"/>
      <c r="N509" s="30"/>
    </row>
    <row r="510" spans="1:14" s="2" customFormat="1" ht="15" thickBot="1" x14ac:dyDescent="0.35">
      <c r="A510" s="29"/>
      <c r="B510" s="30">
        <f t="shared" si="7"/>
        <v>1</v>
      </c>
      <c r="C510" s="28"/>
      <c r="D510" s="35" t="str">
        <f>IFERROR(VLOOKUP(C510,T_CÓDIGO[#All],4,FALSE),"")</f>
        <v/>
      </c>
      <c r="E510" s="30" t="str">
        <f>IFERROR(VLOOKUP(C510,T_CÓDIGO[#All],6,FALSE),"")</f>
        <v/>
      </c>
      <c r="F510" s="28"/>
      <c r="G510" s="30"/>
      <c r="H510" s="28"/>
      <c r="I510" s="30"/>
      <c r="J510" s="30"/>
      <c r="K510" s="30" t="str">
        <f>IFERROR(VLOOKUP(C510,T_CÓDIGO[#All],3,FALSE),"")</f>
        <v/>
      </c>
      <c r="L510" s="28"/>
      <c r="M510" s="28"/>
      <c r="N510" s="30"/>
    </row>
    <row r="511" spans="1:14" s="2" customFormat="1" ht="15" thickBot="1" x14ac:dyDescent="0.35">
      <c r="A511" s="29"/>
      <c r="B511" s="30">
        <f t="shared" si="7"/>
        <v>1</v>
      </c>
      <c r="C511" s="28"/>
      <c r="D511" s="35" t="str">
        <f>IFERROR(VLOOKUP(C511,T_CÓDIGO[#All],4,FALSE),"")</f>
        <v/>
      </c>
      <c r="E511" s="30" t="str">
        <f>IFERROR(VLOOKUP(C511,T_CÓDIGO[#All],6,FALSE),"")</f>
        <v/>
      </c>
      <c r="F511" s="28"/>
      <c r="G511" s="30"/>
      <c r="H511" s="28"/>
      <c r="I511" s="30"/>
      <c r="J511" s="30"/>
      <c r="K511" s="30" t="str">
        <f>IFERROR(VLOOKUP(C511,T_CÓDIGO[#All],3,FALSE),"")</f>
        <v/>
      </c>
      <c r="L511" s="28"/>
      <c r="M511" s="28"/>
      <c r="N511" s="30"/>
    </row>
    <row r="512" spans="1:14" s="2" customFormat="1" ht="15" thickBot="1" x14ac:dyDescent="0.35">
      <c r="A512" s="29"/>
      <c r="B512" s="30">
        <f t="shared" si="7"/>
        <v>1</v>
      </c>
      <c r="C512" s="28"/>
      <c r="D512" s="35" t="str">
        <f>IFERROR(VLOOKUP(C512,T_CÓDIGO[#All],4,FALSE),"")</f>
        <v/>
      </c>
      <c r="E512" s="30" t="str">
        <f>IFERROR(VLOOKUP(C512,T_CÓDIGO[#All],6,FALSE),"")</f>
        <v/>
      </c>
      <c r="F512" s="28"/>
      <c r="G512" s="30"/>
      <c r="H512" s="28"/>
      <c r="I512" s="30"/>
      <c r="J512" s="30"/>
      <c r="K512" s="30" t="str">
        <f>IFERROR(VLOOKUP(C512,T_CÓDIGO[#All],3,FALSE),"")</f>
        <v/>
      </c>
      <c r="L512" s="28"/>
      <c r="M512" s="28"/>
      <c r="N512" s="30"/>
    </row>
    <row r="513" spans="1:14" s="2" customFormat="1" ht="15" thickBot="1" x14ac:dyDescent="0.35">
      <c r="A513" s="29"/>
      <c r="B513" s="30">
        <f t="shared" si="7"/>
        <v>1</v>
      </c>
      <c r="C513" s="28"/>
      <c r="D513" s="35" t="str">
        <f>IFERROR(VLOOKUP(C513,T_CÓDIGO[#All],4,FALSE),"")</f>
        <v/>
      </c>
      <c r="E513" s="30" t="str">
        <f>IFERROR(VLOOKUP(C513,T_CÓDIGO[#All],6,FALSE),"")</f>
        <v/>
      </c>
      <c r="F513" s="28"/>
      <c r="G513" s="30"/>
      <c r="H513" s="28"/>
      <c r="I513" s="30"/>
      <c r="J513" s="30"/>
      <c r="K513" s="30" t="str">
        <f>IFERROR(VLOOKUP(C513,T_CÓDIGO[#All],3,FALSE),"")</f>
        <v/>
      </c>
      <c r="L513" s="28"/>
      <c r="M513" s="28"/>
      <c r="N513" s="30"/>
    </row>
    <row r="514" spans="1:14" s="2" customFormat="1" ht="15" thickBot="1" x14ac:dyDescent="0.35">
      <c r="A514" s="29"/>
      <c r="B514" s="30">
        <f t="shared" si="7"/>
        <v>1</v>
      </c>
      <c r="C514" s="28"/>
      <c r="D514" s="35" t="str">
        <f>IFERROR(VLOOKUP(C514,T_CÓDIGO[#All],4,FALSE),"")</f>
        <v/>
      </c>
      <c r="E514" s="30" t="str">
        <f>IFERROR(VLOOKUP(C514,T_CÓDIGO[#All],6,FALSE),"")</f>
        <v/>
      </c>
      <c r="F514" s="28"/>
      <c r="G514" s="30"/>
      <c r="H514" s="28"/>
      <c r="I514" s="30"/>
      <c r="J514" s="30"/>
      <c r="K514" s="30" t="str">
        <f>IFERROR(VLOOKUP(C514,T_CÓDIGO[#All],3,FALSE),"")</f>
        <v/>
      </c>
      <c r="L514" s="28"/>
      <c r="M514" s="28"/>
      <c r="N514" s="30"/>
    </row>
    <row r="515" spans="1:14" s="2" customFormat="1" ht="15" thickBot="1" x14ac:dyDescent="0.35">
      <c r="A515" s="29"/>
      <c r="B515" s="30">
        <f t="shared" si="7"/>
        <v>1</v>
      </c>
      <c r="C515" s="28"/>
      <c r="D515" s="35" t="str">
        <f>IFERROR(VLOOKUP(C515,T_CÓDIGO[#All],4,FALSE),"")</f>
        <v/>
      </c>
      <c r="E515" s="30" t="str">
        <f>IFERROR(VLOOKUP(C515,T_CÓDIGO[#All],6,FALSE),"")</f>
        <v/>
      </c>
      <c r="F515" s="28"/>
      <c r="G515" s="30"/>
      <c r="H515" s="28"/>
      <c r="I515" s="30"/>
      <c r="J515" s="30"/>
      <c r="K515" s="30" t="str">
        <f>IFERROR(VLOOKUP(C515,T_CÓDIGO[#All],3,FALSE),"")</f>
        <v/>
      </c>
      <c r="L515" s="28"/>
      <c r="M515" s="28"/>
      <c r="N515" s="30"/>
    </row>
    <row r="516" spans="1:14" s="2" customFormat="1" ht="15" thickBot="1" x14ac:dyDescent="0.35">
      <c r="A516" s="29"/>
      <c r="B516" s="30">
        <f t="shared" si="7"/>
        <v>1</v>
      </c>
      <c r="C516" s="28"/>
      <c r="D516" s="35" t="str">
        <f>IFERROR(VLOOKUP(C516,T_CÓDIGO[#All],4,FALSE),"")</f>
        <v/>
      </c>
      <c r="E516" s="30" t="str">
        <f>IFERROR(VLOOKUP(C516,T_CÓDIGO[#All],6,FALSE),"")</f>
        <v/>
      </c>
      <c r="F516" s="28"/>
      <c r="G516" s="30"/>
      <c r="H516" s="28"/>
      <c r="I516" s="30"/>
      <c r="J516" s="30"/>
      <c r="K516" s="30" t="str">
        <f>IFERROR(VLOOKUP(C516,T_CÓDIGO[#All],3,FALSE),"")</f>
        <v/>
      </c>
      <c r="L516" s="28"/>
      <c r="M516" s="28"/>
      <c r="N516" s="30"/>
    </row>
    <row r="517" spans="1:14" s="2" customFormat="1" ht="15" thickBot="1" x14ac:dyDescent="0.35">
      <c r="A517" s="29"/>
      <c r="B517" s="30">
        <f t="shared" si="7"/>
        <v>1</v>
      </c>
      <c r="C517" s="28"/>
      <c r="D517" s="35" t="str">
        <f>IFERROR(VLOOKUP(C517,T_CÓDIGO[#All],4,FALSE),"")</f>
        <v/>
      </c>
      <c r="E517" s="30" t="str">
        <f>IFERROR(VLOOKUP(C517,T_CÓDIGO[#All],6,FALSE),"")</f>
        <v/>
      </c>
      <c r="F517" s="28"/>
      <c r="G517" s="30"/>
      <c r="H517" s="28"/>
      <c r="I517" s="30"/>
      <c r="J517" s="30"/>
      <c r="K517" s="30" t="str">
        <f>IFERROR(VLOOKUP(C517,T_CÓDIGO[#All],3,FALSE),"")</f>
        <v/>
      </c>
      <c r="L517" s="28"/>
      <c r="M517" s="28"/>
      <c r="N517" s="30"/>
    </row>
    <row r="518" spans="1:14" s="2" customFormat="1" ht="15" thickBot="1" x14ac:dyDescent="0.35">
      <c r="A518" s="29"/>
      <c r="B518" s="30">
        <f t="shared" si="7"/>
        <v>1</v>
      </c>
      <c r="C518" s="28"/>
      <c r="D518" s="35" t="str">
        <f>IFERROR(VLOOKUP(C518,T_CÓDIGO[#All],4,FALSE),"")</f>
        <v/>
      </c>
      <c r="E518" s="30" t="str">
        <f>IFERROR(VLOOKUP(C518,T_CÓDIGO[#All],6,FALSE),"")</f>
        <v/>
      </c>
      <c r="F518" s="28"/>
      <c r="G518" s="30"/>
      <c r="H518" s="28"/>
      <c r="I518" s="30"/>
      <c r="J518" s="30"/>
      <c r="K518" s="30" t="str">
        <f>IFERROR(VLOOKUP(C518,T_CÓDIGO[#All],3,FALSE),"")</f>
        <v/>
      </c>
      <c r="L518" s="28"/>
      <c r="M518" s="28"/>
      <c r="N518" s="30"/>
    </row>
    <row r="519" spans="1:14" s="2" customFormat="1" ht="15" thickBot="1" x14ac:dyDescent="0.35">
      <c r="A519" s="29"/>
      <c r="B519" s="30">
        <f t="shared" si="7"/>
        <v>1</v>
      </c>
      <c r="C519" s="28"/>
      <c r="D519" s="35" t="str">
        <f>IFERROR(VLOOKUP(C519,T_CÓDIGO[#All],4,FALSE),"")</f>
        <v/>
      </c>
      <c r="E519" s="30" t="str">
        <f>IFERROR(VLOOKUP(C519,T_CÓDIGO[#All],6,FALSE),"")</f>
        <v/>
      </c>
      <c r="F519" s="28"/>
      <c r="G519" s="30"/>
      <c r="H519" s="28"/>
      <c r="I519" s="30"/>
      <c r="J519" s="30"/>
      <c r="K519" s="30" t="str">
        <f>IFERROR(VLOOKUP(C519,T_CÓDIGO[#All],3,FALSE),"")</f>
        <v/>
      </c>
      <c r="L519" s="28"/>
      <c r="M519" s="28"/>
      <c r="N519" s="30"/>
    </row>
    <row r="520" spans="1:14" s="2" customFormat="1" ht="15" thickBot="1" x14ac:dyDescent="0.35">
      <c r="A520" s="29"/>
      <c r="B520" s="30">
        <f t="shared" si="7"/>
        <v>1</v>
      </c>
      <c r="C520" s="28"/>
      <c r="D520" s="35" t="str">
        <f>IFERROR(VLOOKUP(C520,T_CÓDIGO[#All],4,FALSE),"")</f>
        <v/>
      </c>
      <c r="E520" s="30" t="str">
        <f>IFERROR(VLOOKUP(C520,T_CÓDIGO[#All],6,FALSE),"")</f>
        <v/>
      </c>
      <c r="F520" s="28"/>
      <c r="G520" s="30"/>
      <c r="H520" s="28"/>
      <c r="I520" s="30"/>
      <c r="J520" s="30"/>
      <c r="K520" s="30" t="str">
        <f>IFERROR(VLOOKUP(C520,T_CÓDIGO[#All],3,FALSE),"")</f>
        <v/>
      </c>
      <c r="L520" s="28"/>
      <c r="M520" s="28"/>
      <c r="N520" s="30"/>
    </row>
    <row r="521" spans="1:14" s="2" customFormat="1" ht="15" thickBot="1" x14ac:dyDescent="0.35">
      <c r="A521" s="29"/>
      <c r="B521" s="30">
        <f t="shared" si="7"/>
        <v>1</v>
      </c>
      <c r="C521" s="28"/>
      <c r="D521" s="35" t="str">
        <f>IFERROR(VLOOKUP(C521,T_CÓDIGO[#All],4,FALSE),"")</f>
        <v/>
      </c>
      <c r="E521" s="30" t="str">
        <f>IFERROR(VLOOKUP(C521,T_CÓDIGO[#All],6,FALSE),"")</f>
        <v/>
      </c>
      <c r="F521" s="28"/>
      <c r="G521" s="30"/>
      <c r="H521" s="28"/>
      <c r="I521" s="30"/>
      <c r="J521" s="30"/>
      <c r="K521" s="30" t="str">
        <f>IFERROR(VLOOKUP(C521,T_CÓDIGO[#All],3,FALSE),"")</f>
        <v/>
      </c>
      <c r="L521" s="28"/>
      <c r="M521" s="28"/>
      <c r="N521" s="30"/>
    </row>
    <row r="522" spans="1:14" s="2" customFormat="1" ht="15" thickBot="1" x14ac:dyDescent="0.35">
      <c r="A522" s="29"/>
      <c r="B522" s="30">
        <f t="shared" ref="B522:B585" si="8">MONTH(A522)</f>
        <v>1</v>
      </c>
      <c r="C522" s="28"/>
      <c r="D522" s="35" t="str">
        <f>IFERROR(VLOOKUP(C522,T_CÓDIGO[#All],4,FALSE),"")</f>
        <v/>
      </c>
      <c r="E522" s="30" t="str">
        <f>IFERROR(VLOOKUP(C522,T_CÓDIGO[#All],6,FALSE),"")</f>
        <v/>
      </c>
      <c r="F522" s="28"/>
      <c r="G522" s="30"/>
      <c r="H522" s="28"/>
      <c r="I522" s="30"/>
      <c r="J522" s="30"/>
      <c r="K522" s="30" t="str">
        <f>IFERROR(VLOOKUP(C522,T_CÓDIGO[#All],3,FALSE),"")</f>
        <v/>
      </c>
      <c r="L522" s="28"/>
      <c r="M522" s="28"/>
      <c r="N522" s="30"/>
    </row>
    <row r="523" spans="1:14" s="2" customFormat="1" ht="15" thickBot="1" x14ac:dyDescent="0.35">
      <c r="A523" s="29"/>
      <c r="B523" s="30">
        <f t="shared" si="8"/>
        <v>1</v>
      </c>
      <c r="C523" s="28"/>
      <c r="D523" s="35" t="str">
        <f>IFERROR(VLOOKUP(C523,T_CÓDIGO[#All],4,FALSE),"")</f>
        <v/>
      </c>
      <c r="E523" s="30" t="str">
        <f>IFERROR(VLOOKUP(C523,T_CÓDIGO[#All],6,FALSE),"")</f>
        <v/>
      </c>
      <c r="F523" s="28"/>
      <c r="G523" s="30"/>
      <c r="H523" s="28"/>
      <c r="I523" s="30"/>
      <c r="J523" s="30"/>
      <c r="K523" s="30" t="str">
        <f>IFERROR(VLOOKUP(C523,T_CÓDIGO[#All],3,FALSE),"")</f>
        <v/>
      </c>
      <c r="L523" s="28"/>
      <c r="M523" s="28"/>
      <c r="N523" s="30"/>
    </row>
    <row r="524" spans="1:14" s="2" customFormat="1" ht="15" thickBot="1" x14ac:dyDescent="0.35">
      <c r="A524" s="29"/>
      <c r="B524" s="30">
        <f t="shared" si="8"/>
        <v>1</v>
      </c>
      <c r="C524" s="28"/>
      <c r="D524" s="35" t="str">
        <f>IFERROR(VLOOKUP(C524,T_CÓDIGO[#All],4,FALSE),"")</f>
        <v/>
      </c>
      <c r="E524" s="30" t="str">
        <f>IFERROR(VLOOKUP(C524,T_CÓDIGO[#All],6,FALSE),"")</f>
        <v/>
      </c>
      <c r="F524" s="28"/>
      <c r="G524" s="30"/>
      <c r="H524" s="28"/>
      <c r="I524" s="30"/>
      <c r="J524" s="30"/>
      <c r="K524" s="30" t="str">
        <f>IFERROR(VLOOKUP(C524,T_CÓDIGO[#All],3,FALSE),"")</f>
        <v/>
      </c>
      <c r="L524" s="28"/>
      <c r="M524" s="28"/>
      <c r="N524" s="30"/>
    </row>
    <row r="525" spans="1:14" s="2" customFormat="1" ht="15" thickBot="1" x14ac:dyDescent="0.35">
      <c r="A525" s="29"/>
      <c r="B525" s="30">
        <f t="shared" si="8"/>
        <v>1</v>
      </c>
      <c r="C525" s="28"/>
      <c r="D525" s="35" t="str">
        <f>IFERROR(VLOOKUP(C525,T_CÓDIGO[#All],4,FALSE),"")</f>
        <v/>
      </c>
      <c r="E525" s="30" t="str">
        <f>IFERROR(VLOOKUP(C525,T_CÓDIGO[#All],6,FALSE),"")</f>
        <v/>
      </c>
      <c r="F525" s="28"/>
      <c r="G525" s="30"/>
      <c r="H525" s="28"/>
      <c r="I525" s="30"/>
      <c r="J525" s="30"/>
      <c r="K525" s="30" t="str">
        <f>IFERROR(VLOOKUP(C525,T_CÓDIGO[#All],3,FALSE),"")</f>
        <v/>
      </c>
      <c r="L525" s="28"/>
      <c r="M525" s="28"/>
      <c r="N525" s="30"/>
    </row>
    <row r="526" spans="1:14" s="2" customFormat="1" ht="15" thickBot="1" x14ac:dyDescent="0.35">
      <c r="A526" s="29"/>
      <c r="B526" s="30">
        <f t="shared" si="8"/>
        <v>1</v>
      </c>
      <c r="C526" s="28"/>
      <c r="D526" s="35" t="str">
        <f>IFERROR(VLOOKUP(C526,T_CÓDIGO[#All],4,FALSE),"")</f>
        <v/>
      </c>
      <c r="E526" s="30" t="str">
        <f>IFERROR(VLOOKUP(C526,T_CÓDIGO[#All],6,FALSE),"")</f>
        <v/>
      </c>
      <c r="F526" s="28"/>
      <c r="G526" s="30"/>
      <c r="H526" s="28"/>
      <c r="I526" s="30"/>
      <c r="J526" s="30"/>
      <c r="K526" s="30" t="str">
        <f>IFERROR(VLOOKUP(C526,T_CÓDIGO[#All],3,FALSE),"")</f>
        <v/>
      </c>
      <c r="L526" s="28"/>
      <c r="M526" s="28"/>
      <c r="N526" s="30"/>
    </row>
    <row r="527" spans="1:14" s="2" customFormat="1" ht="15" thickBot="1" x14ac:dyDescent="0.35">
      <c r="A527" s="29"/>
      <c r="B527" s="30">
        <f t="shared" si="8"/>
        <v>1</v>
      </c>
      <c r="C527" s="28"/>
      <c r="D527" s="35" t="str">
        <f>IFERROR(VLOOKUP(C527,T_CÓDIGO[#All],4,FALSE),"")</f>
        <v/>
      </c>
      <c r="E527" s="30" t="str">
        <f>IFERROR(VLOOKUP(C527,T_CÓDIGO[#All],6,FALSE),"")</f>
        <v/>
      </c>
      <c r="F527" s="28"/>
      <c r="G527" s="30"/>
      <c r="H527" s="28"/>
      <c r="I527" s="30"/>
      <c r="J527" s="30"/>
      <c r="K527" s="30" t="str">
        <f>IFERROR(VLOOKUP(C527,T_CÓDIGO[#All],3,FALSE),"")</f>
        <v/>
      </c>
      <c r="L527" s="28"/>
      <c r="M527" s="28"/>
      <c r="N527" s="30"/>
    </row>
    <row r="528" spans="1:14" s="2" customFormat="1" ht="15" thickBot="1" x14ac:dyDescent="0.35">
      <c r="A528" s="29"/>
      <c r="B528" s="30">
        <f t="shared" si="8"/>
        <v>1</v>
      </c>
      <c r="C528" s="28"/>
      <c r="D528" s="35" t="str">
        <f>IFERROR(VLOOKUP(C528,T_CÓDIGO[#All],4,FALSE),"")</f>
        <v/>
      </c>
      <c r="E528" s="30" t="str">
        <f>IFERROR(VLOOKUP(C528,T_CÓDIGO[#All],6,FALSE),"")</f>
        <v/>
      </c>
      <c r="F528" s="28"/>
      <c r="G528" s="30"/>
      <c r="H528" s="28"/>
      <c r="I528" s="30"/>
      <c r="J528" s="30"/>
      <c r="K528" s="30" t="str">
        <f>IFERROR(VLOOKUP(C528,T_CÓDIGO[#All],3,FALSE),"")</f>
        <v/>
      </c>
      <c r="L528" s="28"/>
      <c r="M528" s="28"/>
      <c r="N528" s="30"/>
    </row>
    <row r="529" spans="1:14" s="2" customFormat="1" ht="15" thickBot="1" x14ac:dyDescent="0.35">
      <c r="A529" s="29"/>
      <c r="B529" s="30">
        <f t="shared" si="8"/>
        <v>1</v>
      </c>
      <c r="C529" s="28"/>
      <c r="D529" s="35" t="str">
        <f>IFERROR(VLOOKUP(C529,T_CÓDIGO[#All],4,FALSE),"")</f>
        <v/>
      </c>
      <c r="E529" s="30" t="str">
        <f>IFERROR(VLOOKUP(C529,T_CÓDIGO[#All],6,FALSE),"")</f>
        <v/>
      </c>
      <c r="F529" s="28"/>
      <c r="G529" s="30"/>
      <c r="H529" s="28"/>
      <c r="I529" s="30"/>
      <c r="J529" s="30"/>
      <c r="K529" s="30" t="str">
        <f>IFERROR(VLOOKUP(C529,T_CÓDIGO[#All],3,FALSE),"")</f>
        <v/>
      </c>
      <c r="L529" s="28"/>
      <c r="M529" s="28"/>
      <c r="N529" s="30"/>
    </row>
    <row r="530" spans="1:14" s="2" customFormat="1" ht="15" thickBot="1" x14ac:dyDescent="0.35">
      <c r="A530" s="29"/>
      <c r="B530" s="30">
        <f t="shared" si="8"/>
        <v>1</v>
      </c>
      <c r="C530" s="28"/>
      <c r="D530" s="35" t="str">
        <f>IFERROR(VLOOKUP(C530,T_CÓDIGO[#All],4,FALSE),"")</f>
        <v/>
      </c>
      <c r="E530" s="30" t="str">
        <f>IFERROR(VLOOKUP(C530,T_CÓDIGO[#All],6,FALSE),"")</f>
        <v/>
      </c>
      <c r="F530" s="28"/>
      <c r="G530" s="30"/>
      <c r="H530" s="28"/>
      <c r="I530" s="30"/>
      <c r="J530" s="30"/>
      <c r="K530" s="30" t="str">
        <f>IFERROR(VLOOKUP(C530,T_CÓDIGO[#All],3,FALSE),"")</f>
        <v/>
      </c>
      <c r="L530" s="28"/>
      <c r="M530" s="28"/>
      <c r="N530" s="30"/>
    </row>
    <row r="531" spans="1:14" s="2" customFormat="1" ht="15" thickBot="1" x14ac:dyDescent="0.35">
      <c r="A531" s="29"/>
      <c r="B531" s="30">
        <f t="shared" si="8"/>
        <v>1</v>
      </c>
      <c r="C531" s="28"/>
      <c r="D531" s="35" t="str">
        <f>IFERROR(VLOOKUP(C531,T_CÓDIGO[#All],4,FALSE),"")</f>
        <v/>
      </c>
      <c r="E531" s="30" t="str">
        <f>IFERROR(VLOOKUP(C531,T_CÓDIGO[#All],6,FALSE),"")</f>
        <v/>
      </c>
      <c r="F531" s="28"/>
      <c r="G531" s="30"/>
      <c r="H531" s="28"/>
      <c r="I531" s="30"/>
      <c r="J531" s="30"/>
      <c r="K531" s="30" t="str">
        <f>IFERROR(VLOOKUP(C531,T_CÓDIGO[#All],3,FALSE),"")</f>
        <v/>
      </c>
      <c r="L531" s="28"/>
      <c r="M531" s="28"/>
      <c r="N531" s="30"/>
    </row>
    <row r="532" spans="1:14" s="2" customFormat="1" ht="15" thickBot="1" x14ac:dyDescent="0.35">
      <c r="A532" s="29"/>
      <c r="B532" s="30">
        <f t="shared" si="8"/>
        <v>1</v>
      </c>
      <c r="C532" s="28"/>
      <c r="D532" s="35" t="str">
        <f>IFERROR(VLOOKUP(C532,T_CÓDIGO[#All],4,FALSE),"")</f>
        <v/>
      </c>
      <c r="E532" s="30" t="str">
        <f>IFERROR(VLOOKUP(C532,T_CÓDIGO[#All],6,FALSE),"")</f>
        <v/>
      </c>
      <c r="F532" s="28"/>
      <c r="G532" s="30"/>
      <c r="H532" s="28"/>
      <c r="I532" s="30"/>
      <c r="J532" s="30"/>
      <c r="K532" s="30" t="str">
        <f>IFERROR(VLOOKUP(C532,T_CÓDIGO[#All],3,FALSE),"")</f>
        <v/>
      </c>
      <c r="L532" s="28"/>
      <c r="M532" s="28"/>
      <c r="N532" s="30"/>
    </row>
    <row r="533" spans="1:14" s="2" customFormat="1" ht="15" thickBot="1" x14ac:dyDescent="0.35">
      <c r="A533" s="29"/>
      <c r="B533" s="30">
        <f t="shared" si="8"/>
        <v>1</v>
      </c>
      <c r="C533" s="28"/>
      <c r="D533" s="35" t="str">
        <f>IFERROR(VLOOKUP(C533,T_CÓDIGO[#All],4,FALSE),"")</f>
        <v/>
      </c>
      <c r="E533" s="30" t="str">
        <f>IFERROR(VLOOKUP(C533,T_CÓDIGO[#All],6,FALSE),"")</f>
        <v/>
      </c>
      <c r="F533" s="28"/>
      <c r="G533" s="30"/>
      <c r="H533" s="28"/>
      <c r="I533" s="30"/>
      <c r="J533" s="30"/>
      <c r="K533" s="30" t="str">
        <f>IFERROR(VLOOKUP(C533,T_CÓDIGO[#All],3,FALSE),"")</f>
        <v/>
      </c>
      <c r="L533" s="28"/>
      <c r="M533" s="28"/>
      <c r="N533" s="30"/>
    </row>
    <row r="534" spans="1:14" s="2" customFormat="1" ht="15" thickBot="1" x14ac:dyDescent="0.35">
      <c r="A534" s="29"/>
      <c r="B534" s="30">
        <f t="shared" si="8"/>
        <v>1</v>
      </c>
      <c r="C534" s="28"/>
      <c r="D534" s="35" t="str">
        <f>IFERROR(VLOOKUP(C534,T_CÓDIGO[#All],4,FALSE),"")</f>
        <v/>
      </c>
      <c r="E534" s="30" t="str">
        <f>IFERROR(VLOOKUP(C534,T_CÓDIGO[#All],6,FALSE),"")</f>
        <v/>
      </c>
      <c r="F534" s="28"/>
      <c r="G534" s="30"/>
      <c r="H534" s="28"/>
      <c r="I534" s="30"/>
      <c r="J534" s="30"/>
      <c r="K534" s="30" t="str">
        <f>IFERROR(VLOOKUP(C534,T_CÓDIGO[#All],3,FALSE),"")</f>
        <v/>
      </c>
      <c r="L534" s="28"/>
      <c r="M534" s="28"/>
      <c r="N534" s="30"/>
    </row>
    <row r="535" spans="1:14" s="2" customFormat="1" ht="15" thickBot="1" x14ac:dyDescent="0.35">
      <c r="A535" s="29"/>
      <c r="B535" s="30">
        <f t="shared" si="8"/>
        <v>1</v>
      </c>
      <c r="C535" s="28"/>
      <c r="D535" s="35" t="str">
        <f>IFERROR(VLOOKUP(C535,T_CÓDIGO[#All],4,FALSE),"")</f>
        <v/>
      </c>
      <c r="E535" s="30" t="str">
        <f>IFERROR(VLOOKUP(C535,T_CÓDIGO[#All],6,FALSE),"")</f>
        <v/>
      </c>
      <c r="F535" s="28"/>
      <c r="G535" s="30"/>
      <c r="H535" s="28"/>
      <c r="I535" s="30"/>
      <c r="J535" s="30"/>
      <c r="K535" s="30" t="str">
        <f>IFERROR(VLOOKUP(C535,T_CÓDIGO[#All],3,FALSE),"")</f>
        <v/>
      </c>
      <c r="L535" s="28"/>
      <c r="M535" s="28"/>
      <c r="N535" s="30"/>
    </row>
    <row r="536" spans="1:14" s="2" customFormat="1" ht="15" thickBot="1" x14ac:dyDescent="0.35">
      <c r="A536" s="29"/>
      <c r="B536" s="30">
        <f t="shared" si="8"/>
        <v>1</v>
      </c>
      <c r="C536" s="28"/>
      <c r="D536" s="35" t="str">
        <f>IFERROR(VLOOKUP(C536,T_CÓDIGO[#All],4,FALSE),"")</f>
        <v/>
      </c>
      <c r="E536" s="30" t="str">
        <f>IFERROR(VLOOKUP(C536,T_CÓDIGO[#All],6,FALSE),"")</f>
        <v/>
      </c>
      <c r="F536" s="28"/>
      <c r="G536" s="30"/>
      <c r="H536" s="28"/>
      <c r="I536" s="30"/>
      <c r="J536" s="30"/>
      <c r="K536" s="30" t="str">
        <f>IFERROR(VLOOKUP(C536,T_CÓDIGO[#All],3,FALSE),"")</f>
        <v/>
      </c>
      <c r="L536" s="28"/>
      <c r="M536" s="28"/>
      <c r="N536" s="30"/>
    </row>
    <row r="537" spans="1:14" s="2" customFormat="1" ht="15" thickBot="1" x14ac:dyDescent="0.35">
      <c r="A537" s="29"/>
      <c r="B537" s="30">
        <f t="shared" si="8"/>
        <v>1</v>
      </c>
      <c r="C537" s="28"/>
      <c r="D537" s="35" t="str">
        <f>IFERROR(VLOOKUP(C537,T_CÓDIGO[#All],4,FALSE),"")</f>
        <v/>
      </c>
      <c r="E537" s="30" t="str">
        <f>IFERROR(VLOOKUP(C537,T_CÓDIGO[#All],6,FALSE),"")</f>
        <v/>
      </c>
      <c r="F537" s="28"/>
      <c r="G537" s="30"/>
      <c r="H537" s="28"/>
      <c r="I537" s="30"/>
      <c r="J537" s="30"/>
      <c r="K537" s="30" t="str">
        <f>IFERROR(VLOOKUP(C537,T_CÓDIGO[#All],3,FALSE),"")</f>
        <v/>
      </c>
      <c r="L537" s="28"/>
      <c r="M537" s="28"/>
      <c r="N537" s="30"/>
    </row>
    <row r="538" spans="1:14" s="2" customFormat="1" ht="15" thickBot="1" x14ac:dyDescent="0.35">
      <c r="A538" s="29"/>
      <c r="B538" s="30">
        <f t="shared" si="8"/>
        <v>1</v>
      </c>
      <c r="C538" s="28"/>
      <c r="D538" s="35" t="str">
        <f>IFERROR(VLOOKUP(C538,T_CÓDIGO[#All],4,FALSE),"")</f>
        <v/>
      </c>
      <c r="E538" s="30" t="str">
        <f>IFERROR(VLOOKUP(C538,T_CÓDIGO[#All],6,FALSE),"")</f>
        <v/>
      </c>
      <c r="F538" s="28"/>
      <c r="G538" s="30"/>
      <c r="H538" s="28"/>
      <c r="I538" s="30"/>
      <c r="J538" s="30"/>
      <c r="K538" s="30" t="str">
        <f>IFERROR(VLOOKUP(C538,T_CÓDIGO[#All],3,FALSE),"")</f>
        <v/>
      </c>
      <c r="L538" s="28"/>
      <c r="M538" s="28"/>
      <c r="N538" s="30"/>
    </row>
    <row r="539" spans="1:14" s="2" customFormat="1" ht="15" thickBot="1" x14ac:dyDescent="0.35">
      <c r="A539" s="29"/>
      <c r="B539" s="30">
        <f t="shared" si="8"/>
        <v>1</v>
      </c>
      <c r="C539" s="28"/>
      <c r="D539" s="35" t="str">
        <f>IFERROR(VLOOKUP(C539,T_CÓDIGO[#All],4,FALSE),"")</f>
        <v/>
      </c>
      <c r="E539" s="30" t="str">
        <f>IFERROR(VLOOKUP(C539,T_CÓDIGO[#All],6,FALSE),"")</f>
        <v/>
      </c>
      <c r="F539" s="28"/>
      <c r="G539" s="30"/>
      <c r="H539" s="28"/>
      <c r="I539" s="30"/>
      <c r="J539" s="30"/>
      <c r="K539" s="30" t="str">
        <f>IFERROR(VLOOKUP(C539,T_CÓDIGO[#All],3,FALSE),"")</f>
        <v/>
      </c>
      <c r="L539" s="28"/>
      <c r="M539" s="28"/>
      <c r="N539" s="30"/>
    </row>
    <row r="540" spans="1:14" s="2" customFormat="1" ht="15" thickBot="1" x14ac:dyDescent="0.35">
      <c r="A540" s="29"/>
      <c r="B540" s="30">
        <f t="shared" si="8"/>
        <v>1</v>
      </c>
      <c r="C540" s="28"/>
      <c r="D540" s="35" t="str">
        <f>IFERROR(VLOOKUP(C540,T_CÓDIGO[#All],4,FALSE),"")</f>
        <v/>
      </c>
      <c r="E540" s="30" t="str">
        <f>IFERROR(VLOOKUP(C540,T_CÓDIGO[#All],6,FALSE),"")</f>
        <v/>
      </c>
      <c r="F540" s="28"/>
      <c r="G540" s="30"/>
      <c r="H540" s="28"/>
      <c r="I540" s="30"/>
      <c r="J540" s="30"/>
      <c r="K540" s="30" t="str">
        <f>IFERROR(VLOOKUP(C540,T_CÓDIGO[#All],3,FALSE),"")</f>
        <v/>
      </c>
      <c r="L540" s="28"/>
      <c r="M540" s="28"/>
      <c r="N540" s="30"/>
    </row>
    <row r="541" spans="1:14" s="2" customFormat="1" ht="15" thickBot="1" x14ac:dyDescent="0.35">
      <c r="A541" s="29"/>
      <c r="B541" s="30">
        <f t="shared" si="8"/>
        <v>1</v>
      </c>
      <c r="C541" s="28"/>
      <c r="D541" s="35" t="str">
        <f>IFERROR(VLOOKUP(C541,T_CÓDIGO[#All],4,FALSE),"")</f>
        <v/>
      </c>
      <c r="E541" s="30" t="str">
        <f>IFERROR(VLOOKUP(C541,T_CÓDIGO[#All],6,FALSE),"")</f>
        <v/>
      </c>
      <c r="F541" s="28"/>
      <c r="G541" s="30"/>
      <c r="H541" s="28"/>
      <c r="I541" s="30"/>
      <c r="J541" s="30"/>
      <c r="K541" s="30" t="str">
        <f>IFERROR(VLOOKUP(C541,T_CÓDIGO[#All],3,FALSE),"")</f>
        <v/>
      </c>
      <c r="L541" s="28"/>
      <c r="M541" s="28"/>
      <c r="N541" s="30"/>
    </row>
    <row r="542" spans="1:14" s="2" customFormat="1" ht="15" thickBot="1" x14ac:dyDescent="0.35">
      <c r="A542" s="29"/>
      <c r="B542" s="30">
        <f t="shared" si="8"/>
        <v>1</v>
      </c>
      <c r="C542" s="28"/>
      <c r="D542" s="35" t="str">
        <f>IFERROR(VLOOKUP(C542,T_CÓDIGO[#All],4,FALSE),"")</f>
        <v/>
      </c>
      <c r="E542" s="30" t="str">
        <f>IFERROR(VLOOKUP(C542,T_CÓDIGO[#All],6,FALSE),"")</f>
        <v/>
      </c>
      <c r="F542" s="28"/>
      <c r="G542" s="30"/>
      <c r="H542" s="28"/>
      <c r="I542" s="30"/>
      <c r="J542" s="30"/>
      <c r="K542" s="30" t="str">
        <f>IFERROR(VLOOKUP(C542,T_CÓDIGO[#All],3,FALSE),"")</f>
        <v/>
      </c>
      <c r="L542" s="28"/>
      <c r="M542" s="28"/>
      <c r="N542" s="30"/>
    </row>
    <row r="543" spans="1:14" s="2" customFormat="1" ht="15" thickBot="1" x14ac:dyDescent="0.35">
      <c r="A543" s="29"/>
      <c r="B543" s="30">
        <f t="shared" si="8"/>
        <v>1</v>
      </c>
      <c r="C543" s="28"/>
      <c r="D543" s="35" t="str">
        <f>IFERROR(VLOOKUP(C543,T_CÓDIGO[#All],4,FALSE),"")</f>
        <v/>
      </c>
      <c r="E543" s="30" t="str">
        <f>IFERROR(VLOOKUP(C543,T_CÓDIGO[#All],6,FALSE),"")</f>
        <v/>
      </c>
      <c r="F543" s="28"/>
      <c r="G543" s="30"/>
      <c r="H543" s="28"/>
      <c r="I543" s="30"/>
      <c r="J543" s="30"/>
      <c r="K543" s="30" t="str">
        <f>IFERROR(VLOOKUP(C543,T_CÓDIGO[#All],3,FALSE),"")</f>
        <v/>
      </c>
      <c r="L543" s="28"/>
      <c r="M543" s="28"/>
      <c r="N543" s="30"/>
    </row>
    <row r="544" spans="1:14" s="2" customFormat="1" ht="15" thickBot="1" x14ac:dyDescent="0.35">
      <c r="A544" s="29"/>
      <c r="B544" s="30">
        <f t="shared" si="8"/>
        <v>1</v>
      </c>
      <c r="C544" s="28"/>
      <c r="D544" s="35" t="str">
        <f>IFERROR(VLOOKUP(C544,T_CÓDIGO[#All],4,FALSE),"")</f>
        <v/>
      </c>
      <c r="E544" s="30" t="str">
        <f>IFERROR(VLOOKUP(C544,T_CÓDIGO[#All],6,FALSE),"")</f>
        <v/>
      </c>
      <c r="F544" s="28"/>
      <c r="G544" s="30"/>
      <c r="H544" s="28"/>
      <c r="I544" s="30"/>
      <c r="J544" s="30"/>
      <c r="K544" s="30" t="str">
        <f>IFERROR(VLOOKUP(C544,T_CÓDIGO[#All],3,FALSE),"")</f>
        <v/>
      </c>
      <c r="L544" s="28"/>
      <c r="M544" s="28"/>
      <c r="N544" s="30"/>
    </row>
    <row r="545" spans="1:14" s="2" customFormat="1" ht="15" thickBot="1" x14ac:dyDescent="0.35">
      <c r="A545" s="29"/>
      <c r="B545" s="30">
        <f t="shared" si="8"/>
        <v>1</v>
      </c>
      <c r="C545" s="28"/>
      <c r="D545" s="35" t="str">
        <f>IFERROR(VLOOKUP(C545,T_CÓDIGO[#All],4,FALSE),"")</f>
        <v/>
      </c>
      <c r="E545" s="30" t="str">
        <f>IFERROR(VLOOKUP(C545,T_CÓDIGO[#All],6,FALSE),"")</f>
        <v/>
      </c>
      <c r="F545" s="28"/>
      <c r="G545" s="30"/>
      <c r="H545" s="28"/>
      <c r="I545" s="30"/>
      <c r="J545" s="30"/>
      <c r="K545" s="30" t="str">
        <f>IFERROR(VLOOKUP(C545,T_CÓDIGO[#All],3,FALSE),"")</f>
        <v/>
      </c>
      <c r="L545" s="28"/>
      <c r="M545" s="28"/>
      <c r="N545" s="30"/>
    </row>
    <row r="546" spans="1:14" s="2" customFormat="1" ht="15" thickBot="1" x14ac:dyDescent="0.35">
      <c r="A546" s="29"/>
      <c r="B546" s="30">
        <f t="shared" si="8"/>
        <v>1</v>
      </c>
      <c r="C546" s="28"/>
      <c r="D546" s="35" t="str">
        <f>IFERROR(VLOOKUP(C546,T_CÓDIGO[#All],4,FALSE),"")</f>
        <v/>
      </c>
      <c r="E546" s="30" t="str">
        <f>IFERROR(VLOOKUP(C546,T_CÓDIGO[#All],6,FALSE),"")</f>
        <v/>
      </c>
      <c r="F546" s="28"/>
      <c r="G546" s="30"/>
      <c r="H546" s="28"/>
      <c r="I546" s="30"/>
      <c r="J546" s="30"/>
      <c r="K546" s="30" t="str">
        <f>IFERROR(VLOOKUP(C546,T_CÓDIGO[#All],3,FALSE),"")</f>
        <v/>
      </c>
      <c r="L546" s="28"/>
      <c r="M546" s="28"/>
      <c r="N546" s="30"/>
    </row>
    <row r="547" spans="1:14" s="2" customFormat="1" ht="15" thickBot="1" x14ac:dyDescent="0.35">
      <c r="A547" s="29"/>
      <c r="B547" s="30">
        <f t="shared" si="8"/>
        <v>1</v>
      </c>
      <c r="C547" s="28"/>
      <c r="D547" s="35" t="str">
        <f>IFERROR(VLOOKUP(C547,T_CÓDIGO[#All],4,FALSE),"")</f>
        <v/>
      </c>
      <c r="E547" s="30" t="str">
        <f>IFERROR(VLOOKUP(C547,T_CÓDIGO[#All],6,FALSE),"")</f>
        <v/>
      </c>
      <c r="F547" s="28"/>
      <c r="G547" s="30"/>
      <c r="H547" s="28"/>
      <c r="I547" s="30"/>
      <c r="J547" s="30"/>
      <c r="K547" s="30" t="str">
        <f>IFERROR(VLOOKUP(C547,T_CÓDIGO[#All],3,FALSE),"")</f>
        <v/>
      </c>
      <c r="L547" s="28"/>
      <c r="M547" s="28"/>
      <c r="N547" s="30"/>
    </row>
    <row r="548" spans="1:14" s="2" customFormat="1" ht="15" thickBot="1" x14ac:dyDescent="0.35">
      <c r="A548" s="29"/>
      <c r="B548" s="30">
        <f t="shared" si="8"/>
        <v>1</v>
      </c>
      <c r="C548" s="28"/>
      <c r="D548" s="35" t="str">
        <f>IFERROR(VLOOKUP(C548,T_CÓDIGO[#All],4,FALSE),"")</f>
        <v/>
      </c>
      <c r="E548" s="30" t="str">
        <f>IFERROR(VLOOKUP(C548,T_CÓDIGO[#All],6,FALSE),"")</f>
        <v/>
      </c>
      <c r="F548" s="28"/>
      <c r="G548" s="30"/>
      <c r="H548" s="28"/>
      <c r="I548" s="30"/>
      <c r="J548" s="30"/>
      <c r="K548" s="30" t="str">
        <f>IFERROR(VLOOKUP(C548,T_CÓDIGO[#All],3,FALSE),"")</f>
        <v/>
      </c>
      <c r="L548" s="28"/>
      <c r="M548" s="28"/>
      <c r="N548" s="30"/>
    </row>
    <row r="549" spans="1:14" s="2" customFormat="1" ht="15" thickBot="1" x14ac:dyDescent="0.35">
      <c r="A549" s="29"/>
      <c r="B549" s="30">
        <f t="shared" si="8"/>
        <v>1</v>
      </c>
      <c r="C549" s="28"/>
      <c r="D549" s="35" t="str">
        <f>IFERROR(VLOOKUP(C549,T_CÓDIGO[#All],4,FALSE),"")</f>
        <v/>
      </c>
      <c r="E549" s="30" t="str">
        <f>IFERROR(VLOOKUP(C549,T_CÓDIGO[#All],6,FALSE),"")</f>
        <v/>
      </c>
      <c r="F549" s="28"/>
      <c r="G549" s="30"/>
      <c r="H549" s="28"/>
      <c r="I549" s="30"/>
      <c r="J549" s="30"/>
      <c r="K549" s="30" t="str">
        <f>IFERROR(VLOOKUP(C549,T_CÓDIGO[#All],3,FALSE),"")</f>
        <v/>
      </c>
      <c r="L549" s="28"/>
      <c r="M549" s="28"/>
      <c r="N549" s="30"/>
    </row>
    <row r="550" spans="1:14" s="2" customFormat="1" ht="15" thickBot="1" x14ac:dyDescent="0.35">
      <c r="A550" s="29"/>
      <c r="B550" s="30">
        <f t="shared" si="8"/>
        <v>1</v>
      </c>
      <c r="C550" s="28"/>
      <c r="D550" s="35" t="str">
        <f>IFERROR(VLOOKUP(C550,T_CÓDIGO[#All],4,FALSE),"")</f>
        <v/>
      </c>
      <c r="E550" s="30" t="str">
        <f>IFERROR(VLOOKUP(C550,T_CÓDIGO[#All],6,FALSE),"")</f>
        <v/>
      </c>
      <c r="F550" s="28"/>
      <c r="G550" s="30"/>
      <c r="H550" s="28"/>
      <c r="I550" s="30"/>
      <c r="J550" s="30"/>
      <c r="K550" s="30" t="str">
        <f>IFERROR(VLOOKUP(C550,T_CÓDIGO[#All],3,FALSE),"")</f>
        <v/>
      </c>
      <c r="L550" s="28"/>
      <c r="M550" s="28"/>
      <c r="N550" s="30"/>
    </row>
    <row r="551" spans="1:14" s="2" customFormat="1" ht="15" thickBot="1" x14ac:dyDescent="0.35">
      <c r="A551" s="29"/>
      <c r="B551" s="30">
        <f t="shared" si="8"/>
        <v>1</v>
      </c>
      <c r="C551" s="28"/>
      <c r="D551" s="35" t="str">
        <f>IFERROR(VLOOKUP(C551,T_CÓDIGO[#All],4,FALSE),"")</f>
        <v/>
      </c>
      <c r="E551" s="30" t="str">
        <f>IFERROR(VLOOKUP(C551,T_CÓDIGO[#All],6,FALSE),"")</f>
        <v/>
      </c>
      <c r="F551" s="28"/>
      <c r="G551" s="30"/>
      <c r="H551" s="28"/>
      <c r="I551" s="30"/>
      <c r="J551" s="30"/>
      <c r="K551" s="30" t="str">
        <f>IFERROR(VLOOKUP(C551,T_CÓDIGO[#All],3,FALSE),"")</f>
        <v/>
      </c>
      <c r="L551" s="28"/>
      <c r="M551" s="28"/>
      <c r="N551" s="30"/>
    </row>
    <row r="552" spans="1:14" s="2" customFormat="1" ht="15" thickBot="1" x14ac:dyDescent="0.35">
      <c r="A552" s="29"/>
      <c r="B552" s="30">
        <f t="shared" si="8"/>
        <v>1</v>
      </c>
      <c r="C552" s="28"/>
      <c r="D552" s="35" t="str">
        <f>IFERROR(VLOOKUP(C552,T_CÓDIGO[#All],4,FALSE),"")</f>
        <v/>
      </c>
      <c r="E552" s="30" t="str">
        <f>IFERROR(VLOOKUP(C552,T_CÓDIGO[#All],6,FALSE),"")</f>
        <v/>
      </c>
      <c r="F552" s="28"/>
      <c r="G552" s="30"/>
      <c r="H552" s="28"/>
      <c r="I552" s="30"/>
      <c r="J552" s="30"/>
      <c r="K552" s="30" t="str">
        <f>IFERROR(VLOOKUP(C552,T_CÓDIGO[#All],3,FALSE),"")</f>
        <v/>
      </c>
      <c r="L552" s="28"/>
      <c r="M552" s="28"/>
      <c r="N552" s="30"/>
    </row>
    <row r="553" spans="1:14" s="2" customFormat="1" ht="15" thickBot="1" x14ac:dyDescent="0.35">
      <c r="A553" s="29"/>
      <c r="B553" s="30">
        <f t="shared" si="8"/>
        <v>1</v>
      </c>
      <c r="C553" s="28"/>
      <c r="D553" s="35" t="str">
        <f>IFERROR(VLOOKUP(C553,T_CÓDIGO[#All],4,FALSE),"")</f>
        <v/>
      </c>
      <c r="E553" s="30" t="str">
        <f>IFERROR(VLOOKUP(C553,T_CÓDIGO[#All],6,FALSE),"")</f>
        <v/>
      </c>
      <c r="F553" s="28"/>
      <c r="G553" s="30"/>
      <c r="H553" s="28"/>
      <c r="I553" s="30"/>
      <c r="J553" s="30"/>
      <c r="K553" s="30" t="str">
        <f>IFERROR(VLOOKUP(C553,T_CÓDIGO[#All],3,FALSE),"")</f>
        <v/>
      </c>
      <c r="L553" s="28"/>
      <c r="M553" s="28"/>
      <c r="N553" s="30"/>
    </row>
    <row r="554" spans="1:14" s="2" customFormat="1" ht="15" thickBot="1" x14ac:dyDescent="0.35">
      <c r="A554" s="29"/>
      <c r="B554" s="30">
        <f t="shared" si="8"/>
        <v>1</v>
      </c>
      <c r="C554" s="28"/>
      <c r="D554" s="35" t="str">
        <f>IFERROR(VLOOKUP(C554,T_CÓDIGO[#All],4,FALSE),"")</f>
        <v/>
      </c>
      <c r="E554" s="30" t="str">
        <f>IFERROR(VLOOKUP(C554,T_CÓDIGO[#All],6,FALSE),"")</f>
        <v/>
      </c>
      <c r="F554" s="28"/>
      <c r="G554" s="30"/>
      <c r="H554" s="28"/>
      <c r="I554" s="30"/>
      <c r="J554" s="30"/>
      <c r="K554" s="30" t="str">
        <f>IFERROR(VLOOKUP(C554,T_CÓDIGO[#All],3,FALSE),"")</f>
        <v/>
      </c>
      <c r="L554" s="28"/>
      <c r="M554" s="28"/>
      <c r="N554" s="30"/>
    </row>
    <row r="555" spans="1:14" s="2" customFormat="1" ht="15" thickBot="1" x14ac:dyDescent="0.35">
      <c r="A555" s="29"/>
      <c r="B555" s="30">
        <f t="shared" si="8"/>
        <v>1</v>
      </c>
      <c r="C555" s="28"/>
      <c r="D555" s="35" t="str">
        <f>IFERROR(VLOOKUP(C555,T_CÓDIGO[#All],4,FALSE),"")</f>
        <v/>
      </c>
      <c r="E555" s="30" t="str">
        <f>IFERROR(VLOOKUP(C555,T_CÓDIGO[#All],6,FALSE),"")</f>
        <v/>
      </c>
      <c r="F555" s="28"/>
      <c r="G555" s="30"/>
      <c r="H555" s="28"/>
      <c r="I555" s="30"/>
      <c r="J555" s="30"/>
      <c r="K555" s="30" t="str">
        <f>IFERROR(VLOOKUP(C555,T_CÓDIGO[#All],3,FALSE),"")</f>
        <v/>
      </c>
      <c r="L555" s="28"/>
      <c r="M555" s="28"/>
      <c r="N555" s="30"/>
    </row>
    <row r="556" spans="1:14" s="2" customFormat="1" ht="15" thickBot="1" x14ac:dyDescent="0.35">
      <c r="A556" s="29"/>
      <c r="B556" s="30">
        <f t="shared" si="8"/>
        <v>1</v>
      </c>
      <c r="C556" s="28"/>
      <c r="D556" s="35" t="str">
        <f>IFERROR(VLOOKUP(C556,T_CÓDIGO[#All],4,FALSE),"")</f>
        <v/>
      </c>
      <c r="E556" s="30" t="str">
        <f>IFERROR(VLOOKUP(C556,T_CÓDIGO[#All],6,FALSE),"")</f>
        <v/>
      </c>
      <c r="F556" s="28"/>
      <c r="G556" s="30"/>
      <c r="H556" s="28"/>
      <c r="I556" s="30"/>
      <c r="J556" s="30"/>
      <c r="K556" s="30" t="str">
        <f>IFERROR(VLOOKUP(C556,T_CÓDIGO[#All],3,FALSE),"")</f>
        <v/>
      </c>
      <c r="L556" s="28"/>
      <c r="M556" s="28"/>
      <c r="N556" s="30"/>
    </row>
    <row r="557" spans="1:14" s="2" customFormat="1" ht="15" thickBot="1" x14ac:dyDescent="0.35">
      <c r="A557" s="29"/>
      <c r="B557" s="30">
        <f t="shared" si="8"/>
        <v>1</v>
      </c>
      <c r="C557" s="28"/>
      <c r="D557" s="35" t="str">
        <f>IFERROR(VLOOKUP(C557,T_CÓDIGO[#All],4,FALSE),"")</f>
        <v/>
      </c>
      <c r="E557" s="30" t="str">
        <f>IFERROR(VLOOKUP(C557,T_CÓDIGO[#All],6,FALSE),"")</f>
        <v/>
      </c>
      <c r="F557" s="28"/>
      <c r="G557" s="30"/>
      <c r="H557" s="28"/>
      <c r="I557" s="30"/>
      <c r="J557" s="30"/>
      <c r="K557" s="30" t="str">
        <f>IFERROR(VLOOKUP(C557,T_CÓDIGO[#All],3,FALSE),"")</f>
        <v/>
      </c>
      <c r="L557" s="28"/>
      <c r="M557" s="28"/>
      <c r="N557" s="30"/>
    </row>
    <row r="558" spans="1:14" s="2" customFormat="1" ht="15" thickBot="1" x14ac:dyDescent="0.35">
      <c r="A558" s="29"/>
      <c r="B558" s="30">
        <f t="shared" si="8"/>
        <v>1</v>
      </c>
      <c r="C558" s="28"/>
      <c r="D558" s="35" t="str">
        <f>IFERROR(VLOOKUP(C558,T_CÓDIGO[#All],4,FALSE),"")</f>
        <v/>
      </c>
      <c r="E558" s="30" t="str">
        <f>IFERROR(VLOOKUP(C558,T_CÓDIGO[#All],6,FALSE),"")</f>
        <v/>
      </c>
      <c r="F558" s="28"/>
      <c r="G558" s="30"/>
      <c r="H558" s="28"/>
      <c r="I558" s="30"/>
      <c r="J558" s="30"/>
      <c r="K558" s="30" t="str">
        <f>IFERROR(VLOOKUP(C558,T_CÓDIGO[#All],3,FALSE),"")</f>
        <v/>
      </c>
      <c r="L558" s="28"/>
      <c r="M558" s="28"/>
      <c r="N558" s="30"/>
    </row>
    <row r="559" spans="1:14" s="2" customFormat="1" ht="15" thickBot="1" x14ac:dyDescent="0.35">
      <c r="A559" s="29"/>
      <c r="B559" s="30">
        <f t="shared" si="8"/>
        <v>1</v>
      </c>
      <c r="C559" s="28"/>
      <c r="D559" s="35" t="str">
        <f>IFERROR(VLOOKUP(C559,T_CÓDIGO[#All],4,FALSE),"")</f>
        <v/>
      </c>
      <c r="E559" s="30" t="str">
        <f>IFERROR(VLOOKUP(C559,T_CÓDIGO[#All],6,FALSE),"")</f>
        <v/>
      </c>
      <c r="F559" s="28"/>
      <c r="G559" s="30"/>
      <c r="H559" s="28"/>
      <c r="I559" s="30"/>
      <c r="J559" s="30"/>
      <c r="K559" s="30" t="str">
        <f>IFERROR(VLOOKUP(C559,T_CÓDIGO[#All],3,FALSE),"")</f>
        <v/>
      </c>
      <c r="L559" s="28"/>
      <c r="M559" s="28"/>
      <c r="N559" s="30"/>
    </row>
    <row r="560" spans="1:14" s="2" customFormat="1" ht="15" thickBot="1" x14ac:dyDescent="0.35">
      <c r="A560" s="29"/>
      <c r="B560" s="30">
        <f t="shared" si="8"/>
        <v>1</v>
      </c>
      <c r="C560" s="28"/>
      <c r="D560" s="35" t="str">
        <f>IFERROR(VLOOKUP(C560,T_CÓDIGO[#All],4,FALSE),"")</f>
        <v/>
      </c>
      <c r="E560" s="30" t="str">
        <f>IFERROR(VLOOKUP(C560,T_CÓDIGO[#All],6,FALSE),"")</f>
        <v/>
      </c>
      <c r="F560" s="28"/>
      <c r="G560" s="30"/>
      <c r="H560" s="28"/>
      <c r="I560" s="30"/>
      <c r="J560" s="30"/>
      <c r="K560" s="30" t="str">
        <f>IFERROR(VLOOKUP(C560,T_CÓDIGO[#All],3,FALSE),"")</f>
        <v/>
      </c>
      <c r="L560" s="28"/>
      <c r="M560" s="28"/>
      <c r="N560" s="30"/>
    </row>
    <row r="561" spans="1:14" s="2" customFormat="1" ht="15" thickBot="1" x14ac:dyDescent="0.35">
      <c r="A561" s="29"/>
      <c r="B561" s="30">
        <f t="shared" si="8"/>
        <v>1</v>
      </c>
      <c r="C561" s="28"/>
      <c r="D561" s="35" t="str">
        <f>IFERROR(VLOOKUP(C561,T_CÓDIGO[#All],4,FALSE),"")</f>
        <v/>
      </c>
      <c r="E561" s="30" t="str">
        <f>IFERROR(VLOOKUP(C561,T_CÓDIGO[#All],6,FALSE),"")</f>
        <v/>
      </c>
      <c r="F561" s="28"/>
      <c r="G561" s="30"/>
      <c r="H561" s="28"/>
      <c r="I561" s="30"/>
      <c r="J561" s="30"/>
      <c r="K561" s="30" t="str">
        <f>IFERROR(VLOOKUP(C561,T_CÓDIGO[#All],3,FALSE),"")</f>
        <v/>
      </c>
      <c r="L561" s="28"/>
      <c r="M561" s="28"/>
      <c r="N561" s="30"/>
    </row>
    <row r="562" spans="1:14" s="2" customFormat="1" ht="15" thickBot="1" x14ac:dyDescent="0.35">
      <c r="A562" s="29"/>
      <c r="B562" s="30">
        <f t="shared" si="8"/>
        <v>1</v>
      </c>
      <c r="C562" s="28"/>
      <c r="D562" s="35" t="str">
        <f>IFERROR(VLOOKUP(C562,T_CÓDIGO[#All],4,FALSE),"")</f>
        <v/>
      </c>
      <c r="E562" s="30" t="str">
        <f>IFERROR(VLOOKUP(C562,T_CÓDIGO[#All],6,FALSE),"")</f>
        <v/>
      </c>
      <c r="F562" s="28"/>
      <c r="G562" s="30"/>
      <c r="H562" s="28"/>
      <c r="I562" s="30"/>
      <c r="J562" s="30"/>
      <c r="K562" s="30" t="str">
        <f>IFERROR(VLOOKUP(C562,T_CÓDIGO[#All],3,FALSE),"")</f>
        <v/>
      </c>
      <c r="L562" s="28"/>
      <c r="M562" s="28"/>
      <c r="N562" s="30"/>
    </row>
    <row r="563" spans="1:14" s="2" customFormat="1" ht="15" thickBot="1" x14ac:dyDescent="0.35">
      <c r="A563" s="29"/>
      <c r="B563" s="30">
        <f t="shared" si="8"/>
        <v>1</v>
      </c>
      <c r="C563" s="28"/>
      <c r="D563" s="35" t="str">
        <f>IFERROR(VLOOKUP(C563,T_CÓDIGO[#All],4,FALSE),"")</f>
        <v/>
      </c>
      <c r="E563" s="30" t="str">
        <f>IFERROR(VLOOKUP(C563,T_CÓDIGO[#All],6,FALSE),"")</f>
        <v/>
      </c>
      <c r="F563" s="28"/>
      <c r="G563" s="30"/>
      <c r="H563" s="28"/>
      <c r="I563" s="30"/>
      <c r="J563" s="30"/>
      <c r="K563" s="30" t="str">
        <f>IFERROR(VLOOKUP(C563,T_CÓDIGO[#All],3,FALSE),"")</f>
        <v/>
      </c>
      <c r="L563" s="28"/>
      <c r="M563" s="28"/>
      <c r="N563" s="30"/>
    </row>
    <row r="564" spans="1:14" s="2" customFormat="1" ht="15" thickBot="1" x14ac:dyDescent="0.35">
      <c r="A564" s="29"/>
      <c r="B564" s="30">
        <f t="shared" si="8"/>
        <v>1</v>
      </c>
      <c r="C564" s="28"/>
      <c r="D564" s="35" t="str">
        <f>IFERROR(VLOOKUP(C564,T_CÓDIGO[#All],4,FALSE),"")</f>
        <v/>
      </c>
      <c r="E564" s="30" t="str">
        <f>IFERROR(VLOOKUP(C564,T_CÓDIGO[#All],6,FALSE),"")</f>
        <v/>
      </c>
      <c r="F564" s="28"/>
      <c r="G564" s="30"/>
      <c r="H564" s="28"/>
      <c r="I564" s="30"/>
      <c r="J564" s="30"/>
      <c r="K564" s="30" t="str">
        <f>IFERROR(VLOOKUP(C564,T_CÓDIGO[#All],3,FALSE),"")</f>
        <v/>
      </c>
      <c r="L564" s="28"/>
      <c r="M564" s="28"/>
      <c r="N564" s="30"/>
    </row>
    <row r="565" spans="1:14" s="2" customFormat="1" ht="15" thickBot="1" x14ac:dyDescent="0.35">
      <c r="A565" s="29"/>
      <c r="B565" s="30">
        <f t="shared" si="8"/>
        <v>1</v>
      </c>
      <c r="C565" s="28"/>
      <c r="D565" s="35" t="str">
        <f>IFERROR(VLOOKUP(C565,T_CÓDIGO[#All],4,FALSE),"")</f>
        <v/>
      </c>
      <c r="E565" s="30" t="str">
        <f>IFERROR(VLOOKUP(C565,T_CÓDIGO[#All],6,FALSE),"")</f>
        <v/>
      </c>
      <c r="F565" s="28"/>
      <c r="G565" s="30"/>
      <c r="H565" s="28"/>
      <c r="I565" s="30"/>
      <c r="J565" s="30"/>
      <c r="K565" s="30" t="str">
        <f>IFERROR(VLOOKUP(C565,T_CÓDIGO[#All],3,FALSE),"")</f>
        <v/>
      </c>
      <c r="L565" s="28"/>
      <c r="M565" s="28"/>
      <c r="N565" s="30"/>
    </row>
    <row r="566" spans="1:14" s="2" customFormat="1" ht="15" thickBot="1" x14ac:dyDescent="0.35">
      <c r="A566" s="29"/>
      <c r="B566" s="30">
        <f t="shared" si="8"/>
        <v>1</v>
      </c>
      <c r="C566" s="28"/>
      <c r="D566" s="35" t="str">
        <f>IFERROR(VLOOKUP(C566,T_CÓDIGO[#All],4,FALSE),"")</f>
        <v/>
      </c>
      <c r="E566" s="30" t="str">
        <f>IFERROR(VLOOKUP(C566,T_CÓDIGO[#All],6,FALSE),"")</f>
        <v/>
      </c>
      <c r="F566" s="28"/>
      <c r="G566" s="30"/>
      <c r="H566" s="28"/>
      <c r="I566" s="30"/>
      <c r="J566" s="30"/>
      <c r="K566" s="30" t="str">
        <f>IFERROR(VLOOKUP(C566,T_CÓDIGO[#All],3,FALSE),"")</f>
        <v/>
      </c>
      <c r="L566" s="28"/>
      <c r="M566" s="28"/>
      <c r="N566" s="30"/>
    </row>
    <row r="567" spans="1:14" s="2" customFormat="1" ht="15" thickBot="1" x14ac:dyDescent="0.35">
      <c r="A567" s="29"/>
      <c r="B567" s="30">
        <f t="shared" si="8"/>
        <v>1</v>
      </c>
      <c r="C567" s="28"/>
      <c r="D567" s="35" t="str">
        <f>IFERROR(VLOOKUP(C567,T_CÓDIGO[#All],4,FALSE),"")</f>
        <v/>
      </c>
      <c r="E567" s="30" t="str">
        <f>IFERROR(VLOOKUP(C567,T_CÓDIGO[#All],6,FALSE),"")</f>
        <v/>
      </c>
      <c r="F567" s="28"/>
      <c r="G567" s="30"/>
      <c r="H567" s="28"/>
      <c r="I567" s="30"/>
      <c r="J567" s="30"/>
      <c r="K567" s="30" t="str">
        <f>IFERROR(VLOOKUP(C567,T_CÓDIGO[#All],3,FALSE),"")</f>
        <v/>
      </c>
      <c r="L567" s="28"/>
      <c r="M567" s="28"/>
      <c r="N567" s="30"/>
    </row>
    <row r="568" spans="1:14" s="2" customFormat="1" ht="15" thickBot="1" x14ac:dyDescent="0.35">
      <c r="A568" s="29"/>
      <c r="B568" s="30">
        <f t="shared" si="8"/>
        <v>1</v>
      </c>
      <c r="C568" s="28"/>
      <c r="D568" s="35" t="str">
        <f>IFERROR(VLOOKUP(C568,T_CÓDIGO[#All],4,FALSE),"")</f>
        <v/>
      </c>
      <c r="E568" s="30" t="str">
        <f>IFERROR(VLOOKUP(C568,T_CÓDIGO[#All],6,FALSE),"")</f>
        <v/>
      </c>
      <c r="F568" s="28"/>
      <c r="G568" s="30"/>
      <c r="H568" s="28"/>
      <c r="I568" s="30"/>
      <c r="J568" s="30"/>
      <c r="K568" s="30" t="str">
        <f>IFERROR(VLOOKUP(C568,T_CÓDIGO[#All],3,FALSE),"")</f>
        <v/>
      </c>
      <c r="L568" s="28"/>
      <c r="M568" s="28"/>
      <c r="N568" s="30"/>
    </row>
    <row r="569" spans="1:14" s="2" customFormat="1" ht="15" thickBot="1" x14ac:dyDescent="0.35">
      <c r="A569" s="29"/>
      <c r="B569" s="30">
        <f t="shared" si="8"/>
        <v>1</v>
      </c>
      <c r="C569" s="28"/>
      <c r="D569" s="35" t="str">
        <f>IFERROR(VLOOKUP(C569,T_CÓDIGO[#All],4,FALSE),"")</f>
        <v/>
      </c>
      <c r="E569" s="30" t="str">
        <f>IFERROR(VLOOKUP(C569,T_CÓDIGO[#All],6,FALSE),"")</f>
        <v/>
      </c>
      <c r="F569" s="28"/>
      <c r="G569" s="30"/>
      <c r="H569" s="28"/>
      <c r="I569" s="30"/>
      <c r="J569" s="30"/>
      <c r="K569" s="30" t="str">
        <f>IFERROR(VLOOKUP(C569,T_CÓDIGO[#All],3,FALSE),"")</f>
        <v/>
      </c>
      <c r="L569" s="28"/>
      <c r="M569" s="28"/>
      <c r="N569" s="30"/>
    </row>
    <row r="570" spans="1:14" s="2" customFormat="1" ht="15" thickBot="1" x14ac:dyDescent="0.35">
      <c r="A570" s="29"/>
      <c r="B570" s="30">
        <f t="shared" si="8"/>
        <v>1</v>
      </c>
      <c r="C570" s="28"/>
      <c r="D570" s="35" t="str">
        <f>IFERROR(VLOOKUP(C570,T_CÓDIGO[#All],4,FALSE),"")</f>
        <v/>
      </c>
      <c r="E570" s="30" t="str">
        <f>IFERROR(VLOOKUP(C570,T_CÓDIGO[#All],6,FALSE),"")</f>
        <v/>
      </c>
      <c r="F570" s="28"/>
      <c r="G570" s="30"/>
      <c r="H570" s="28"/>
      <c r="I570" s="30"/>
      <c r="J570" s="30"/>
      <c r="K570" s="30" t="str">
        <f>IFERROR(VLOOKUP(C570,T_CÓDIGO[#All],3,FALSE),"")</f>
        <v/>
      </c>
      <c r="L570" s="28"/>
      <c r="M570" s="28"/>
      <c r="N570" s="30"/>
    </row>
    <row r="571" spans="1:14" s="2" customFormat="1" ht="15" thickBot="1" x14ac:dyDescent="0.35">
      <c r="A571" s="29"/>
      <c r="B571" s="30">
        <f t="shared" si="8"/>
        <v>1</v>
      </c>
      <c r="C571" s="28"/>
      <c r="D571" s="35" t="str">
        <f>IFERROR(VLOOKUP(C571,T_CÓDIGO[#All],4,FALSE),"")</f>
        <v/>
      </c>
      <c r="E571" s="30" t="str">
        <f>IFERROR(VLOOKUP(C571,T_CÓDIGO[#All],6,FALSE),"")</f>
        <v/>
      </c>
      <c r="F571" s="28"/>
      <c r="G571" s="30"/>
      <c r="H571" s="28"/>
      <c r="I571" s="30"/>
      <c r="J571" s="30"/>
      <c r="K571" s="30" t="str">
        <f>IFERROR(VLOOKUP(C571,T_CÓDIGO[#All],3,FALSE),"")</f>
        <v/>
      </c>
      <c r="L571" s="28"/>
      <c r="M571" s="28"/>
      <c r="N571" s="30"/>
    </row>
    <row r="572" spans="1:14" s="2" customFormat="1" ht="15" thickBot="1" x14ac:dyDescent="0.35">
      <c r="A572" s="29"/>
      <c r="B572" s="30">
        <f t="shared" si="8"/>
        <v>1</v>
      </c>
      <c r="C572" s="28"/>
      <c r="D572" s="35" t="str">
        <f>IFERROR(VLOOKUP(C572,T_CÓDIGO[#All],4,FALSE),"")</f>
        <v/>
      </c>
      <c r="E572" s="30" t="str">
        <f>IFERROR(VLOOKUP(C572,T_CÓDIGO[#All],6,FALSE),"")</f>
        <v/>
      </c>
      <c r="F572" s="28"/>
      <c r="G572" s="30"/>
      <c r="H572" s="28"/>
      <c r="I572" s="30"/>
      <c r="J572" s="30"/>
      <c r="K572" s="30" t="str">
        <f>IFERROR(VLOOKUP(C572,T_CÓDIGO[#All],3,FALSE),"")</f>
        <v/>
      </c>
      <c r="L572" s="28"/>
      <c r="M572" s="28"/>
      <c r="N572" s="30"/>
    </row>
    <row r="573" spans="1:14" s="2" customFormat="1" ht="15" thickBot="1" x14ac:dyDescent="0.35">
      <c r="A573" s="29"/>
      <c r="B573" s="30">
        <f t="shared" si="8"/>
        <v>1</v>
      </c>
      <c r="C573" s="28"/>
      <c r="D573" s="35" t="str">
        <f>IFERROR(VLOOKUP(C573,T_CÓDIGO[#All],4,FALSE),"")</f>
        <v/>
      </c>
      <c r="E573" s="30" t="str">
        <f>IFERROR(VLOOKUP(C573,T_CÓDIGO[#All],6,FALSE),"")</f>
        <v/>
      </c>
      <c r="F573" s="28"/>
      <c r="G573" s="30"/>
      <c r="H573" s="28"/>
      <c r="I573" s="30"/>
      <c r="J573" s="30"/>
      <c r="K573" s="30" t="str">
        <f>IFERROR(VLOOKUP(C573,T_CÓDIGO[#All],3,FALSE),"")</f>
        <v/>
      </c>
      <c r="L573" s="28"/>
      <c r="M573" s="28"/>
      <c r="N573" s="30"/>
    </row>
    <row r="574" spans="1:14" s="2" customFormat="1" ht="15" thickBot="1" x14ac:dyDescent="0.35">
      <c r="A574" s="29"/>
      <c r="B574" s="30">
        <f t="shared" si="8"/>
        <v>1</v>
      </c>
      <c r="C574" s="28"/>
      <c r="D574" s="35" t="str">
        <f>IFERROR(VLOOKUP(C574,T_CÓDIGO[#All],4,FALSE),"")</f>
        <v/>
      </c>
      <c r="E574" s="30" t="str">
        <f>IFERROR(VLOOKUP(C574,T_CÓDIGO[#All],6,FALSE),"")</f>
        <v/>
      </c>
      <c r="F574" s="28"/>
      <c r="G574" s="30"/>
      <c r="H574" s="28"/>
      <c r="I574" s="30"/>
      <c r="J574" s="30"/>
      <c r="K574" s="30" t="str">
        <f>IFERROR(VLOOKUP(C574,T_CÓDIGO[#All],3,FALSE),"")</f>
        <v/>
      </c>
      <c r="L574" s="28"/>
      <c r="M574" s="28"/>
      <c r="N574" s="30"/>
    </row>
    <row r="575" spans="1:14" s="2" customFormat="1" ht="15" thickBot="1" x14ac:dyDescent="0.35">
      <c r="A575" s="29"/>
      <c r="B575" s="30">
        <f t="shared" si="8"/>
        <v>1</v>
      </c>
      <c r="C575" s="28"/>
      <c r="D575" s="35" t="str">
        <f>IFERROR(VLOOKUP(C575,T_CÓDIGO[#All],4,FALSE),"")</f>
        <v/>
      </c>
      <c r="E575" s="30" t="str">
        <f>IFERROR(VLOOKUP(C575,T_CÓDIGO[#All],6,FALSE),"")</f>
        <v/>
      </c>
      <c r="F575" s="28"/>
      <c r="G575" s="30"/>
      <c r="H575" s="28"/>
      <c r="I575" s="30"/>
      <c r="J575" s="30"/>
      <c r="K575" s="30" t="str">
        <f>IFERROR(VLOOKUP(C575,T_CÓDIGO[#All],3,FALSE),"")</f>
        <v/>
      </c>
      <c r="L575" s="28"/>
      <c r="M575" s="28"/>
      <c r="N575" s="30"/>
    </row>
    <row r="576" spans="1:14" s="2" customFormat="1" ht="15" thickBot="1" x14ac:dyDescent="0.35">
      <c r="A576" s="29"/>
      <c r="B576" s="30">
        <f t="shared" si="8"/>
        <v>1</v>
      </c>
      <c r="C576" s="28"/>
      <c r="D576" s="35" t="str">
        <f>IFERROR(VLOOKUP(C576,T_CÓDIGO[#All],4,FALSE),"")</f>
        <v/>
      </c>
      <c r="E576" s="30" t="str">
        <f>IFERROR(VLOOKUP(C576,T_CÓDIGO[#All],6,FALSE),"")</f>
        <v/>
      </c>
      <c r="F576" s="28"/>
      <c r="G576" s="30"/>
      <c r="H576" s="28"/>
      <c r="I576" s="30"/>
      <c r="J576" s="30"/>
      <c r="K576" s="30" t="str">
        <f>IFERROR(VLOOKUP(C576,T_CÓDIGO[#All],3,FALSE),"")</f>
        <v/>
      </c>
      <c r="L576" s="28"/>
      <c r="M576" s="28"/>
      <c r="N576" s="30"/>
    </row>
    <row r="577" spans="1:14" s="2" customFormat="1" ht="15" thickBot="1" x14ac:dyDescent="0.35">
      <c r="A577" s="29"/>
      <c r="B577" s="30">
        <f t="shared" si="8"/>
        <v>1</v>
      </c>
      <c r="C577" s="28"/>
      <c r="D577" s="35" t="str">
        <f>IFERROR(VLOOKUP(C577,T_CÓDIGO[#All],4,FALSE),"")</f>
        <v/>
      </c>
      <c r="E577" s="30" t="str">
        <f>IFERROR(VLOOKUP(C577,T_CÓDIGO[#All],6,FALSE),"")</f>
        <v/>
      </c>
      <c r="F577" s="28"/>
      <c r="G577" s="30"/>
      <c r="H577" s="28"/>
      <c r="I577" s="30"/>
      <c r="J577" s="30"/>
      <c r="K577" s="30" t="str">
        <f>IFERROR(VLOOKUP(C577,T_CÓDIGO[#All],3,FALSE),"")</f>
        <v/>
      </c>
      <c r="L577" s="28"/>
      <c r="M577" s="28"/>
      <c r="N577" s="30"/>
    </row>
    <row r="578" spans="1:14" s="2" customFormat="1" ht="15" thickBot="1" x14ac:dyDescent="0.35">
      <c r="A578" s="29"/>
      <c r="B578" s="30">
        <f t="shared" si="8"/>
        <v>1</v>
      </c>
      <c r="C578" s="28"/>
      <c r="D578" s="35" t="str">
        <f>IFERROR(VLOOKUP(C578,T_CÓDIGO[#All],4,FALSE),"")</f>
        <v/>
      </c>
      <c r="E578" s="30" t="str">
        <f>IFERROR(VLOOKUP(C578,T_CÓDIGO[#All],6,FALSE),"")</f>
        <v/>
      </c>
      <c r="F578" s="28"/>
      <c r="G578" s="30"/>
      <c r="H578" s="28"/>
      <c r="I578" s="30"/>
      <c r="J578" s="30"/>
      <c r="K578" s="30" t="str">
        <f>IFERROR(VLOOKUP(C578,T_CÓDIGO[#All],3,FALSE),"")</f>
        <v/>
      </c>
      <c r="L578" s="28"/>
      <c r="M578" s="28"/>
      <c r="N578" s="30"/>
    </row>
    <row r="579" spans="1:14" s="2" customFormat="1" ht="15" thickBot="1" x14ac:dyDescent="0.35">
      <c r="A579" s="29"/>
      <c r="B579" s="30">
        <f t="shared" si="8"/>
        <v>1</v>
      </c>
      <c r="C579" s="28"/>
      <c r="D579" s="35" t="str">
        <f>IFERROR(VLOOKUP(C579,T_CÓDIGO[#All],4,FALSE),"")</f>
        <v/>
      </c>
      <c r="E579" s="30" t="str">
        <f>IFERROR(VLOOKUP(C579,T_CÓDIGO[#All],6,FALSE),"")</f>
        <v/>
      </c>
      <c r="F579" s="28"/>
      <c r="G579" s="30"/>
      <c r="H579" s="28"/>
      <c r="I579" s="30"/>
      <c r="J579" s="30"/>
      <c r="K579" s="30" t="str">
        <f>IFERROR(VLOOKUP(C579,T_CÓDIGO[#All],3,FALSE),"")</f>
        <v/>
      </c>
      <c r="L579" s="28"/>
      <c r="M579" s="28"/>
      <c r="N579" s="30"/>
    </row>
    <row r="580" spans="1:14" s="2" customFormat="1" ht="15" thickBot="1" x14ac:dyDescent="0.35">
      <c r="A580" s="29"/>
      <c r="B580" s="30">
        <f t="shared" si="8"/>
        <v>1</v>
      </c>
      <c r="C580" s="28"/>
      <c r="D580" s="35" t="str">
        <f>IFERROR(VLOOKUP(C580,T_CÓDIGO[#All],4,FALSE),"")</f>
        <v/>
      </c>
      <c r="E580" s="30" t="str">
        <f>IFERROR(VLOOKUP(C580,T_CÓDIGO[#All],6,FALSE),"")</f>
        <v/>
      </c>
      <c r="F580" s="28"/>
      <c r="G580" s="30"/>
      <c r="H580" s="28"/>
      <c r="I580" s="30"/>
      <c r="J580" s="30"/>
      <c r="K580" s="30" t="str">
        <f>IFERROR(VLOOKUP(C580,T_CÓDIGO[#All],3,FALSE),"")</f>
        <v/>
      </c>
      <c r="L580" s="28"/>
      <c r="M580" s="28"/>
      <c r="N580" s="30"/>
    </row>
    <row r="581" spans="1:14" s="2" customFormat="1" ht="15" thickBot="1" x14ac:dyDescent="0.35">
      <c r="A581" s="29"/>
      <c r="B581" s="30">
        <f t="shared" si="8"/>
        <v>1</v>
      </c>
      <c r="C581" s="28"/>
      <c r="D581" s="35" t="str">
        <f>IFERROR(VLOOKUP(C581,T_CÓDIGO[#All],4,FALSE),"")</f>
        <v/>
      </c>
      <c r="E581" s="30" t="str">
        <f>IFERROR(VLOOKUP(C581,T_CÓDIGO[#All],6,FALSE),"")</f>
        <v/>
      </c>
      <c r="F581" s="28"/>
      <c r="G581" s="30"/>
      <c r="H581" s="28"/>
      <c r="I581" s="30"/>
      <c r="J581" s="30"/>
      <c r="K581" s="30" t="str">
        <f>IFERROR(VLOOKUP(C581,T_CÓDIGO[#All],3,FALSE),"")</f>
        <v/>
      </c>
      <c r="L581" s="28"/>
      <c r="M581" s="28"/>
      <c r="N581" s="30"/>
    </row>
    <row r="582" spans="1:14" s="2" customFormat="1" ht="15" thickBot="1" x14ac:dyDescent="0.35">
      <c r="A582" s="29"/>
      <c r="B582" s="30">
        <f t="shared" si="8"/>
        <v>1</v>
      </c>
      <c r="C582" s="28"/>
      <c r="D582" s="35" t="str">
        <f>IFERROR(VLOOKUP(C582,T_CÓDIGO[#All],4,FALSE),"")</f>
        <v/>
      </c>
      <c r="E582" s="30" t="str">
        <f>IFERROR(VLOOKUP(C582,T_CÓDIGO[#All],6,FALSE),"")</f>
        <v/>
      </c>
      <c r="F582" s="28"/>
      <c r="G582" s="30"/>
      <c r="H582" s="28"/>
      <c r="I582" s="30"/>
      <c r="J582" s="30"/>
      <c r="K582" s="30" t="str">
        <f>IFERROR(VLOOKUP(C582,T_CÓDIGO[#All],3,FALSE),"")</f>
        <v/>
      </c>
      <c r="L582" s="28"/>
      <c r="M582" s="28"/>
      <c r="N582" s="30"/>
    </row>
    <row r="583" spans="1:14" s="2" customFormat="1" ht="15" thickBot="1" x14ac:dyDescent="0.35">
      <c r="A583" s="29"/>
      <c r="B583" s="30">
        <f t="shared" si="8"/>
        <v>1</v>
      </c>
      <c r="C583" s="28"/>
      <c r="D583" s="35" t="str">
        <f>IFERROR(VLOOKUP(C583,T_CÓDIGO[#All],4,FALSE),"")</f>
        <v/>
      </c>
      <c r="E583" s="30" t="str">
        <f>IFERROR(VLOOKUP(C583,T_CÓDIGO[#All],6,FALSE),"")</f>
        <v/>
      </c>
      <c r="F583" s="28"/>
      <c r="G583" s="30"/>
      <c r="H583" s="28"/>
      <c r="I583" s="30"/>
      <c r="J583" s="30"/>
      <c r="K583" s="30" t="str">
        <f>IFERROR(VLOOKUP(C583,T_CÓDIGO[#All],3,FALSE),"")</f>
        <v/>
      </c>
      <c r="L583" s="28"/>
      <c r="M583" s="28"/>
      <c r="N583" s="30"/>
    </row>
    <row r="584" spans="1:14" s="2" customFormat="1" ht="15" thickBot="1" x14ac:dyDescent="0.35">
      <c r="A584" s="29"/>
      <c r="B584" s="30">
        <f t="shared" si="8"/>
        <v>1</v>
      </c>
      <c r="C584" s="28"/>
      <c r="D584" s="35" t="str">
        <f>IFERROR(VLOOKUP(C584,T_CÓDIGO[#All],4,FALSE),"")</f>
        <v/>
      </c>
      <c r="E584" s="30" t="str">
        <f>IFERROR(VLOOKUP(C584,T_CÓDIGO[#All],6,FALSE),"")</f>
        <v/>
      </c>
      <c r="F584" s="28"/>
      <c r="G584" s="30"/>
      <c r="H584" s="28"/>
      <c r="I584" s="30"/>
      <c r="J584" s="30"/>
      <c r="K584" s="30" t="str">
        <f>IFERROR(VLOOKUP(C584,T_CÓDIGO[#All],3,FALSE),"")</f>
        <v/>
      </c>
      <c r="L584" s="28"/>
      <c r="M584" s="28"/>
      <c r="N584" s="30"/>
    </row>
    <row r="585" spans="1:14" s="2" customFormat="1" ht="15" thickBot="1" x14ac:dyDescent="0.35">
      <c r="A585" s="29"/>
      <c r="B585" s="30">
        <f t="shared" si="8"/>
        <v>1</v>
      </c>
      <c r="C585" s="28"/>
      <c r="D585" s="35" t="str">
        <f>IFERROR(VLOOKUP(C585,T_CÓDIGO[#All],4,FALSE),"")</f>
        <v/>
      </c>
      <c r="E585" s="30" t="str">
        <f>IFERROR(VLOOKUP(C585,T_CÓDIGO[#All],6,FALSE),"")</f>
        <v/>
      </c>
      <c r="F585" s="28"/>
      <c r="G585" s="30"/>
      <c r="H585" s="28"/>
      <c r="I585" s="30"/>
      <c r="J585" s="30"/>
      <c r="K585" s="30" t="str">
        <f>IFERROR(VLOOKUP(C585,T_CÓDIGO[#All],3,FALSE),"")</f>
        <v/>
      </c>
      <c r="L585" s="28"/>
      <c r="M585" s="28"/>
      <c r="N585" s="30"/>
    </row>
    <row r="586" spans="1:14" s="2" customFormat="1" ht="15" thickBot="1" x14ac:dyDescent="0.35">
      <c r="A586" s="29"/>
      <c r="B586" s="30">
        <f t="shared" ref="B586:B649" si="9">MONTH(A586)</f>
        <v>1</v>
      </c>
      <c r="C586" s="28"/>
      <c r="D586" s="35" t="str">
        <f>IFERROR(VLOOKUP(C586,T_CÓDIGO[#All],4,FALSE),"")</f>
        <v/>
      </c>
      <c r="E586" s="30" t="str">
        <f>IFERROR(VLOOKUP(C586,T_CÓDIGO[#All],6,FALSE),"")</f>
        <v/>
      </c>
      <c r="F586" s="28"/>
      <c r="G586" s="30"/>
      <c r="H586" s="28"/>
      <c r="I586" s="30"/>
      <c r="J586" s="30"/>
      <c r="K586" s="30" t="str">
        <f>IFERROR(VLOOKUP(C586,T_CÓDIGO[#All],3,FALSE),"")</f>
        <v/>
      </c>
      <c r="L586" s="28"/>
      <c r="M586" s="28"/>
      <c r="N586" s="30"/>
    </row>
    <row r="587" spans="1:14" s="2" customFormat="1" ht="15" thickBot="1" x14ac:dyDescent="0.35">
      <c r="A587" s="29"/>
      <c r="B587" s="30">
        <f t="shared" si="9"/>
        <v>1</v>
      </c>
      <c r="C587" s="28"/>
      <c r="D587" s="35" t="str">
        <f>IFERROR(VLOOKUP(C587,T_CÓDIGO[#All],4,FALSE),"")</f>
        <v/>
      </c>
      <c r="E587" s="30" t="str">
        <f>IFERROR(VLOOKUP(C587,T_CÓDIGO[#All],6,FALSE),"")</f>
        <v/>
      </c>
      <c r="F587" s="28"/>
      <c r="G587" s="30"/>
      <c r="H587" s="28"/>
      <c r="I587" s="30"/>
      <c r="J587" s="30"/>
      <c r="K587" s="30" t="str">
        <f>IFERROR(VLOOKUP(C587,T_CÓDIGO[#All],3,FALSE),"")</f>
        <v/>
      </c>
      <c r="L587" s="28"/>
      <c r="M587" s="28"/>
      <c r="N587" s="30"/>
    </row>
    <row r="588" spans="1:14" s="2" customFormat="1" ht="15" thickBot="1" x14ac:dyDescent="0.35">
      <c r="A588" s="29"/>
      <c r="B588" s="30">
        <f t="shared" si="9"/>
        <v>1</v>
      </c>
      <c r="C588" s="28"/>
      <c r="D588" s="35" t="str">
        <f>IFERROR(VLOOKUP(C588,T_CÓDIGO[#All],4,FALSE),"")</f>
        <v/>
      </c>
      <c r="E588" s="30" t="str">
        <f>IFERROR(VLOOKUP(C588,T_CÓDIGO[#All],6,FALSE),"")</f>
        <v/>
      </c>
      <c r="F588" s="28"/>
      <c r="G588" s="30"/>
      <c r="H588" s="28"/>
      <c r="I588" s="30"/>
      <c r="J588" s="30"/>
      <c r="K588" s="30" t="str">
        <f>IFERROR(VLOOKUP(C588,T_CÓDIGO[#All],3,FALSE),"")</f>
        <v/>
      </c>
      <c r="L588" s="28"/>
      <c r="M588" s="28"/>
      <c r="N588" s="30"/>
    </row>
    <row r="589" spans="1:14" s="2" customFormat="1" ht="15" thickBot="1" x14ac:dyDescent="0.35">
      <c r="A589" s="29"/>
      <c r="B589" s="30">
        <f t="shared" si="9"/>
        <v>1</v>
      </c>
      <c r="C589" s="28"/>
      <c r="D589" s="35" t="str">
        <f>IFERROR(VLOOKUP(C589,T_CÓDIGO[#All],4,FALSE),"")</f>
        <v/>
      </c>
      <c r="E589" s="30" t="str">
        <f>IFERROR(VLOOKUP(C589,T_CÓDIGO[#All],6,FALSE),"")</f>
        <v/>
      </c>
      <c r="F589" s="28"/>
      <c r="G589" s="30"/>
      <c r="H589" s="28"/>
      <c r="I589" s="30"/>
      <c r="J589" s="30"/>
      <c r="K589" s="30" t="str">
        <f>IFERROR(VLOOKUP(C589,T_CÓDIGO[#All],3,FALSE),"")</f>
        <v/>
      </c>
      <c r="L589" s="28"/>
      <c r="M589" s="28"/>
      <c r="N589" s="30"/>
    </row>
    <row r="590" spans="1:14" s="2" customFormat="1" ht="15" thickBot="1" x14ac:dyDescent="0.35">
      <c r="A590" s="29"/>
      <c r="B590" s="30">
        <f t="shared" si="9"/>
        <v>1</v>
      </c>
      <c r="C590" s="28"/>
      <c r="D590" s="35" t="str">
        <f>IFERROR(VLOOKUP(C590,T_CÓDIGO[#All],4,FALSE),"")</f>
        <v/>
      </c>
      <c r="E590" s="30" t="str">
        <f>IFERROR(VLOOKUP(C590,T_CÓDIGO[#All],6,FALSE),"")</f>
        <v/>
      </c>
      <c r="F590" s="28"/>
      <c r="G590" s="30"/>
      <c r="H590" s="28"/>
      <c r="I590" s="30"/>
      <c r="J590" s="30"/>
      <c r="K590" s="30" t="str">
        <f>IFERROR(VLOOKUP(C590,T_CÓDIGO[#All],3,FALSE),"")</f>
        <v/>
      </c>
      <c r="L590" s="28"/>
      <c r="M590" s="28"/>
      <c r="N590" s="30"/>
    </row>
    <row r="591" spans="1:14" s="2" customFormat="1" ht="15" thickBot="1" x14ac:dyDescent="0.35">
      <c r="A591" s="29"/>
      <c r="B591" s="30">
        <f t="shared" si="9"/>
        <v>1</v>
      </c>
      <c r="C591" s="28"/>
      <c r="D591" s="35" t="str">
        <f>IFERROR(VLOOKUP(C591,T_CÓDIGO[#All],4,FALSE),"")</f>
        <v/>
      </c>
      <c r="E591" s="30" t="str">
        <f>IFERROR(VLOOKUP(C591,T_CÓDIGO[#All],6,FALSE),"")</f>
        <v/>
      </c>
      <c r="F591" s="28"/>
      <c r="G591" s="30"/>
      <c r="H591" s="28"/>
      <c r="I591" s="30"/>
      <c r="J591" s="30"/>
      <c r="K591" s="30" t="str">
        <f>IFERROR(VLOOKUP(C591,T_CÓDIGO[#All],3,FALSE),"")</f>
        <v/>
      </c>
      <c r="L591" s="28"/>
      <c r="M591" s="28"/>
      <c r="N591" s="30"/>
    </row>
    <row r="592" spans="1:14" s="2" customFormat="1" ht="15" thickBot="1" x14ac:dyDescent="0.35">
      <c r="A592" s="29"/>
      <c r="B592" s="30">
        <f t="shared" si="9"/>
        <v>1</v>
      </c>
      <c r="C592" s="28"/>
      <c r="D592" s="35" t="str">
        <f>IFERROR(VLOOKUP(C592,T_CÓDIGO[#All],4,FALSE),"")</f>
        <v/>
      </c>
      <c r="E592" s="30" t="str">
        <f>IFERROR(VLOOKUP(C592,T_CÓDIGO[#All],6,FALSE),"")</f>
        <v/>
      </c>
      <c r="F592" s="28"/>
      <c r="G592" s="30"/>
      <c r="H592" s="28"/>
      <c r="I592" s="30"/>
      <c r="J592" s="30"/>
      <c r="K592" s="30" t="str">
        <f>IFERROR(VLOOKUP(C592,T_CÓDIGO[#All],3,FALSE),"")</f>
        <v/>
      </c>
      <c r="L592" s="28"/>
      <c r="M592" s="28"/>
      <c r="N592" s="30"/>
    </row>
    <row r="593" spans="1:14" s="2" customFormat="1" ht="15" thickBot="1" x14ac:dyDescent="0.35">
      <c r="A593" s="29"/>
      <c r="B593" s="30">
        <f t="shared" si="9"/>
        <v>1</v>
      </c>
      <c r="C593" s="28"/>
      <c r="D593" s="35" t="str">
        <f>IFERROR(VLOOKUP(C593,T_CÓDIGO[#All],4,FALSE),"")</f>
        <v/>
      </c>
      <c r="E593" s="30" t="str">
        <f>IFERROR(VLOOKUP(C593,T_CÓDIGO[#All],6,FALSE),"")</f>
        <v/>
      </c>
      <c r="F593" s="28"/>
      <c r="G593" s="30"/>
      <c r="H593" s="28"/>
      <c r="I593" s="30"/>
      <c r="J593" s="30"/>
      <c r="K593" s="30" t="str">
        <f>IFERROR(VLOOKUP(C593,T_CÓDIGO[#All],3,FALSE),"")</f>
        <v/>
      </c>
      <c r="L593" s="28"/>
      <c r="M593" s="28"/>
      <c r="N593" s="30"/>
    </row>
    <row r="594" spans="1:14" s="2" customFormat="1" ht="15" thickBot="1" x14ac:dyDescent="0.35">
      <c r="A594" s="29"/>
      <c r="B594" s="30">
        <f t="shared" si="9"/>
        <v>1</v>
      </c>
      <c r="C594" s="28"/>
      <c r="D594" s="35" t="str">
        <f>IFERROR(VLOOKUP(C594,T_CÓDIGO[#All],4,FALSE),"")</f>
        <v/>
      </c>
      <c r="E594" s="30" t="str">
        <f>IFERROR(VLOOKUP(C594,T_CÓDIGO[#All],6,FALSE),"")</f>
        <v/>
      </c>
      <c r="F594" s="28"/>
      <c r="G594" s="30"/>
      <c r="H594" s="28"/>
      <c r="I594" s="30"/>
      <c r="J594" s="30"/>
      <c r="K594" s="30" t="str">
        <f>IFERROR(VLOOKUP(C594,T_CÓDIGO[#All],3,FALSE),"")</f>
        <v/>
      </c>
      <c r="L594" s="28"/>
      <c r="M594" s="28"/>
      <c r="N594" s="30"/>
    </row>
    <row r="595" spans="1:14" s="2" customFormat="1" ht="15" thickBot="1" x14ac:dyDescent="0.35">
      <c r="A595" s="29"/>
      <c r="B595" s="30">
        <f t="shared" si="9"/>
        <v>1</v>
      </c>
      <c r="C595" s="28"/>
      <c r="D595" s="35" t="str">
        <f>IFERROR(VLOOKUP(C595,T_CÓDIGO[#All],4,FALSE),"")</f>
        <v/>
      </c>
      <c r="E595" s="30" t="str">
        <f>IFERROR(VLOOKUP(C595,T_CÓDIGO[#All],6,FALSE),"")</f>
        <v/>
      </c>
      <c r="F595" s="28"/>
      <c r="G595" s="30"/>
      <c r="H595" s="28"/>
      <c r="I595" s="30"/>
      <c r="J595" s="30"/>
      <c r="K595" s="30" t="str">
        <f>IFERROR(VLOOKUP(C595,T_CÓDIGO[#All],3,FALSE),"")</f>
        <v/>
      </c>
      <c r="L595" s="28"/>
      <c r="M595" s="28"/>
      <c r="N595" s="30"/>
    </row>
    <row r="596" spans="1:14" s="2" customFormat="1" ht="15" thickBot="1" x14ac:dyDescent="0.35">
      <c r="A596" s="29"/>
      <c r="B596" s="30">
        <f t="shared" si="9"/>
        <v>1</v>
      </c>
      <c r="C596" s="28"/>
      <c r="D596" s="35" t="str">
        <f>IFERROR(VLOOKUP(C596,T_CÓDIGO[#All],4,FALSE),"")</f>
        <v/>
      </c>
      <c r="E596" s="30" t="str">
        <f>IFERROR(VLOOKUP(C596,T_CÓDIGO[#All],6,FALSE),"")</f>
        <v/>
      </c>
      <c r="F596" s="28"/>
      <c r="G596" s="30"/>
      <c r="H596" s="28"/>
      <c r="I596" s="30"/>
      <c r="J596" s="30"/>
      <c r="K596" s="30" t="str">
        <f>IFERROR(VLOOKUP(C596,T_CÓDIGO[#All],3,FALSE),"")</f>
        <v/>
      </c>
      <c r="L596" s="28"/>
      <c r="M596" s="28"/>
      <c r="N596" s="30"/>
    </row>
    <row r="597" spans="1:14" s="2" customFormat="1" ht="15" thickBot="1" x14ac:dyDescent="0.35">
      <c r="A597" s="29"/>
      <c r="B597" s="30">
        <f t="shared" si="9"/>
        <v>1</v>
      </c>
      <c r="C597" s="28"/>
      <c r="D597" s="35" t="str">
        <f>IFERROR(VLOOKUP(C597,T_CÓDIGO[#All],4,FALSE),"")</f>
        <v/>
      </c>
      <c r="E597" s="30" t="str">
        <f>IFERROR(VLOOKUP(C597,T_CÓDIGO[#All],6,FALSE),"")</f>
        <v/>
      </c>
      <c r="F597" s="28"/>
      <c r="G597" s="30"/>
      <c r="H597" s="28"/>
      <c r="I597" s="30"/>
      <c r="J597" s="30"/>
      <c r="K597" s="30" t="str">
        <f>IFERROR(VLOOKUP(C597,T_CÓDIGO[#All],3,FALSE),"")</f>
        <v/>
      </c>
      <c r="L597" s="28"/>
      <c r="M597" s="28"/>
      <c r="N597" s="30"/>
    </row>
    <row r="598" spans="1:14" s="2" customFormat="1" ht="15" thickBot="1" x14ac:dyDescent="0.35">
      <c r="A598" s="29"/>
      <c r="B598" s="30">
        <f t="shared" si="9"/>
        <v>1</v>
      </c>
      <c r="C598" s="28"/>
      <c r="D598" s="35" t="str">
        <f>IFERROR(VLOOKUP(C598,T_CÓDIGO[#All],4,FALSE),"")</f>
        <v/>
      </c>
      <c r="E598" s="30" t="str">
        <f>IFERROR(VLOOKUP(C598,T_CÓDIGO[#All],6,FALSE),"")</f>
        <v/>
      </c>
      <c r="F598" s="28"/>
      <c r="G598" s="30"/>
      <c r="H598" s="28"/>
      <c r="I598" s="30"/>
      <c r="J598" s="30"/>
      <c r="K598" s="30" t="str">
        <f>IFERROR(VLOOKUP(C598,T_CÓDIGO[#All],3,FALSE),"")</f>
        <v/>
      </c>
      <c r="L598" s="28"/>
      <c r="M598" s="28"/>
      <c r="N598" s="30"/>
    </row>
    <row r="599" spans="1:14" s="2" customFormat="1" ht="15" thickBot="1" x14ac:dyDescent="0.35">
      <c r="A599" s="29"/>
      <c r="B599" s="30">
        <f t="shared" si="9"/>
        <v>1</v>
      </c>
      <c r="C599" s="28"/>
      <c r="D599" s="35" t="str">
        <f>IFERROR(VLOOKUP(C599,T_CÓDIGO[#All],4,FALSE),"")</f>
        <v/>
      </c>
      <c r="E599" s="30" t="str">
        <f>IFERROR(VLOOKUP(C599,T_CÓDIGO[#All],6,FALSE),"")</f>
        <v/>
      </c>
      <c r="F599" s="28"/>
      <c r="G599" s="30"/>
      <c r="H599" s="28"/>
      <c r="I599" s="30"/>
      <c r="J599" s="30"/>
      <c r="K599" s="30" t="str">
        <f>IFERROR(VLOOKUP(C599,T_CÓDIGO[#All],3,FALSE),"")</f>
        <v/>
      </c>
      <c r="L599" s="28"/>
      <c r="M599" s="28"/>
      <c r="N599" s="30"/>
    </row>
    <row r="600" spans="1:14" s="2" customFormat="1" ht="15" thickBot="1" x14ac:dyDescent="0.35">
      <c r="A600" s="29"/>
      <c r="B600" s="30">
        <f t="shared" si="9"/>
        <v>1</v>
      </c>
      <c r="C600" s="28"/>
      <c r="D600" s="35" t="str">
        <f>IFERROR(VLOOKUP(C600,T_CÓDIGO[#All],4,FALSE),"")</f>
        <v/>
      </c>
      <c r="E600" s="30" t="str">
        <f>IFERROR(VLOOKUP(C600,T_CÓDIGO[#All],6,FALSE),"")</f>
        <v/>
      </c>
      <c r="F600" s="28"/>
      <c r="G600" s="30"/>
      <c r="H600" s="28"/>
      <c r="I600" s="30"/>
      <c r="J600" s="30"/>
      <c r="K600" s="30" t="str">
        <f>IFERROR(VLOOKUP(C600,T_CÓDIGO[#All],3,FALSE),"")</f>
        <v/>
      </c>
      <c r="L600" s="28"/>
      <c r="M600" s="28"/>
      <c r="N600" s="30"/>
    </row>
    <row r="601" spans="1:14" s="2" customFormat="1" ht="15" thickBot="1" x14ac:dyDescent="0.35">
      <c r="A601" s="29"/>
      <c r="B601" s="30">
        <f t="shared" si="9"/>
        <v>1</v>
      </c>
      <c r="C601" s="28"/>
      <c r="D601" s="35" t="str">
        <f>IFERROR(VLOOKUP(C601,T_CÓDIGO[#All],4,FALSE),"")</f>
        <v/>
      </c>
      <c r="E601" s="30" t="str">
        <f>IFERROR(VLOOKUP(C601,T_CÓDIGO[#All],6,FALSE),"")</f>
        <v/>
      </c>
      <c r="F601" s="28"/>
      <c r="G601" s="30"/>
      <c r="H601" s="28"/>
      <c r="I601" s="30"/>
      <c r="J601" s="30"/>
      <c r="K601" s="30" t="str">
        <f>IFERROR(VLOOKUP(C601,T_CÓDIGO[#All],3,FALSE),"")</f>
        <v/>
      </c>
      <c r="L601" s="28"/>
      <c r="M601" s="28"/>
      <c r="N601" s="30"/>
    </row>
    <row r="602" spans="1:14" s="2" customFormat="1" ht="15" thickBot="1" x14ac:dyDescent="0.35">
      <c r="A602" s="29"/>
      <c r="B602" s="30">
        <f t="shared" si="9"/>
        <v>1</v>
      </c>
      <c r="C602" s="28"/>
      <c r="D602" s="35" t="str">
        <f>IFERROR(VLOOKUP(C602,T_CÓDIGO[#All],4,FALSE),"")</f>
        <v/>
      </c>
      <c r="E602" s="30" t="str">
        <f>IFERROR(VLOOKUP(C602,T_CÓDIGO[#All],6,FALSE),"")</f>
        <v/>
      </c>
      <c r="F602" s="28"/>
      <c r="G602" s="30"/>
      <c r="H602" s="28"/>
      <c r="I602" s="30"/>
      <c r="J602" s="30"/>
      <c r="K602" s="30" t="str">
        <f>IFERROR(VLOOKUP(C602,T_CÓDIGO[#All],3,FALSE),"")</f>
        <v/>
      </c>
      <c r="L602" s="28"/>
      <c r="M602" s="28"/>
      <c r="N602" s="30"/>
    </row>
    <row r="603" spans="1:14" s="2" customFormat="1" ht="15" thickBot="1" x14ac:dyDescent="0.35">
      <c r="A603" s="29"/>
      <c r="B603" s="30">
        <f t="shared" si="9"/>
        <v>1</v>
      </c>
      <c r="C603" s="28"/>
      <c r="D603" s="35" t="str">
        <f>IFERROR(VLOOKUP(C603,T_CÓDIGO[#All],4,FALSE),"")</f>
        <v/>
      </c>
      <c r="E603" s="30" t="str">
        <f>IFERROR(VLOOKUP(C603,T_CÓDIGO[#All],6,FALSE),"")</f>
        <v/>
      </c>
      <c r="F603" s="28"/>
      <c r="G603" s="30"/>
      <c r="H603" s="28"/>
      <c r="I603" s="30"/>
      <c r="J603" s="30"/>
      <c r="K603" s="30" t="str">
        <f>IFERROR(VLOOKUP(C603,T_CÓDIGO[#All],3,FALSE),"")</f>
        <v/>
      </c>
      <c r="L603" s="28"/>
      <c r="M603" s="28"/>
      <c r="N603" s="30"/>
    </row>
    <row r="604" spans="1:14" s="2" customFormat="1" ht="15" thickBot="1" x14ac:dyDescent="0.35">
      <c r="A604" s="29"/>
      <c r="B604" s="30">
        <f t="shared" si="9"/>
        <v>1</v>
      </c>
      <c r="C604" s="28"/>
      <c r="D604" s="35" t="str">
        <f>IFERROR(VLOOKUP(C604,T_CÓDIGO[#All],4,FALSE),"")</f>
        <v/>
      </c>
      <c r="E604" s="30" t="str">
        <f>IFERROR(VLOOKUP(C604,T_CÓDIGO[#All],6,FALSE),"")</f>
        <v/>
      </c>
      <c r="F604" s="28"/>
      <c r="G604" s="30"/>
      <c r="H604" s="28"/>
      <c r="I604" s="30"/>
      <c r="J604" s="30"/>
      <c r="K604" s="30" t="str">
        <f>IFERROR(VLOOKUP(C604,T_CÓDIGO[#All],3,FALSE),"")</f>
        <v/>
      </c>
      <c r="L604" s="28"/>
      <c r="M604" s="28"/>
      <c r="N604" s="30"/>
    </row>
    <row r="605" spans="1:14" s="2" customFormat="1" ht="15" thickBot="1" x14ac:dyDescent="0.35">
      <c r="A605" s="29"/>
      <c r="B605" s="30">
        <f t="shared" si="9"/>
        <v>1</v>
      </c>
      <c r="C605" s="28"/>
      <c r="D605" s="35" t="str">
        <f>IFERROR(VLOOKUP(C605,T_CÓDIGO[#All],4,FALSE),"")</f>
        <v/>
      </c>
      <c r="E605" s="30" t="str">
        <f>IFERROR(VLOOKUP(C605,T_CÓDIGO[#All],6,FALSE),"")</f>
        <v/>
      </c>
      <c r="F605" s="28"/>
      <c r="G605" s="30"/>
      <c r="H605" s="28"/>
      <c r="I605" s="30"/>
      <c r="J605" s="30"/>
      <c r="K605" s="30" t="str">
        <f>IFERROR(VLOOKUP(C605,T_CÓDIGO[#All],3,FALSE),"")</f>
        <v/>
      </c>
      <c r="L605" s="28"/>
      <c r="M605" s="28"/>
      <c r="N605" s="30"/>
    </row>
    <row r="606" spans="1:14" s="2" customFormat="1" ht="15" thickBot="1" x14ac:dyDescent="0.35">
      <c r="A606" s="29"/>
      <c r="B606" s="30">
        <f t="shared" si="9"/>
        <v>1</v>
      </c>
      <c r="C606" s="28"/>
      <c r="D606" s="35" t="str">
        <f>IFERROR(VLOOKUP(C606,T_CÓDIGO[#All],4,FALSE),"")</f>
        <v/>
      </c>
      <c r="E606" s="30" t="str">
        <f>IFERROR(VLOOKUP(C606,T_CÓDIGO[#All],6,FALSE),"")</f>
        <v/>
      </c>
      <c r="F606" s="28"/>
      <c r="G606" s="30"/>
      <c r="H606" s="28"/>
      <c r="I606" s="30"/>
      <c r="J606" s="30"/>
      <c r="K606" s="30" t="str">
        <f>IFERROR(VLOOKUP(C606,T_CÓDIGO[#All],3,FALSE),"")</f>
        <v/>
      </c>
      <c r="L606" s="28"/>
      <c r="M606" s="28"/>
      <c r="N606" s="30"/>
    </row>
    <row r="607" spans="1:14" s="2" customFormat="1" ht="15" thickBot="1" x14ac:dyDescent="0.35">
      <c r="A607" s="29"/>
      <c r="B607" s="30">
        <f t="shared" si="9"/>
        <v>1</v>
      </c>
      <c r="C607" s="28"/>
      <c r="D607" s="35" t="str">
        <f>IFERROR(VLOOKUP(C607,T_CÓDIGO[#All],4,FALSE),"")</f>
        <v/>
      </c>
      <c r="E607" s="30" t="str">
        <f>IFERROR(VLOOKUP(C607,T_CÓDIGO[#All],6,FALSE),"")</f>
        <v/>
      </c>
      <c r="F607" s="28"/>
      <c r="G607" s="30"/>
      <c r="H607" s="28"/>
      <c r="I607" s="30"/>
      <c r="J607" s="30"/>
      <c r="K607" s="30" t="str">
        <f>IFERROR(VLOOKUP(C607,T_CÓDIGO[#All],3,FALSE),"")</f>
        <v/>
      </c>
      <c r="L607" s="28"/>
      <c r="M607" s="28"/>
      <c r="N607" s="30"/>
    </row>
    <row r="608" spans="1:14" s="2" customFormat="1" ht="15" thickBot="1" x14ac:dyDescent="0.35">
      <c r="A608" s="29"/>
      <c r="B608" s="30">
        <f t="shared" si="9"/>
        <v>1</v>
      </c>
      <c r="C608" s="28"/>
      <c r="D608" s="35" t="str">
        <f>IFERROR(VLOOKUP(C608,T_CÓDIGO[#All],4,FALSE),"")</f>
        <v/>
      </c>
      <c r="E608" s="30" t="str">
        <f>IFERROR(VLOOKUP(C608,T_CÓDIGO[#All],6,FALSE),"")</f>
        <v/>
      </c>
      <c r="F608" s="28"/>
      <c r="G608" s="30"/>
      <c r="H608" s="28"/>
      <c r="I608" s="30"/>
      <c r="J608" s="30"/>
      <c r="K608" s="30" t="str">
        <f>IFERROR(VLOOKUP(C608,T_CÓDIGO[#All],3,FALSE),"")</f>
        <v/>
      </c>
      <c r="L608" s="28"/>
      <c r="M608" s="28"/>
      <c r="N608" s="30"/>
    </row>
    <row r="609" spans="1:14" s="2" customFormat="1" ht="15" thickBot="1" x14ac:dyDescent="0.35">
      <c r="A609" s="29"/>
      <c r="B609" s="30">
        <f t="shared" si="9"/>
        <v>1</v>
      </c>
      <c r="C609" s="28"/>
      <c r="D609" s="35" t="str">
        <f>IFERROR(VLOOKUP(C609,T_CÓDIGO[#All],4,FALSE),"")</f>
        <v/>
      </c>
      <c r="E609" s="30" t="str">
        <f>IFERROR(VLOOKUP(C609,T_CÓDIGO[#All],6,FALSE),"")</f>
        <v/>
      </c>
      <c r="F609" s="28"/>
      <c r="G609" s="30"/>
      <c r="H609" s="28"/>
      <c r="I609" s="30"/>
      <c r="J609" s="30"/>
      <c r="K609" s="30" t="str">
        <f>IFERROR(VLOOKUP(C609,T_CÓDIGO[#All],3,FALSE),"")</f>
        <v/>
      </c>
      <c r="L609" s="28"/>
      <c r="M609" s="28"/>
      <c r="N609" s="30"/>
    </row>
    <row r="610" spans="1:14" s="2" customFormat="1" ht="15" thickBot="1" x14ac:dyDescent="0.35">
      <c r="A610" s="29"/>
      <c r="B610" s="30">
        <f t="shared" si="9"/>
        <v>1</v>
      </c>
      <c r="C610" s="28"/>
      <c r="D610" s="35" t="str">
        <f>IFERROR(VLOOKUP(C610,T_CÓDIGO[#All],4,FALSE),"")</f>
        <v/>
      </c>
      <c r="E610" s="30" t="str">
        <f>IFERROR(VLOOKUP(C610,T_CÓDIGO[#All],6,FALSE),"")</f>
        <v/>
      </c>
      <c r="F610" s="28"/>
      <c r="G610" s="30"/>
      <c r="H610" s="28"/>
      <c r="I610" s="30"/>
      <c r="J610" s="30"/>
      <c r="K610" s="30" t="str">
        <f>IFERROR(VLOOKUP(C610,T_CÓDIGO[#All],3,FALSE),"")</f>
        <v/>
      </c>
      <c r="L610" s="28"/>
      <c r="M610" s="28"/>
      <c r="N610" s="30"/>
    </row>
    <row r="611" spans="1:14" s="2" customFormat="1" ht="15" thickBot="1" x14ac:dyDescent="0.35">
      <c r="A611" s="29"/>
      <c r="B611" s="30">
        <f t="shared" si="9"/>
        <v>1</v>
      </c>
      <c r="C611" s="28"/>
      <c r="D611" s="35" t="str">
        <f>IFERROR(VLOOKUP(C611,T_CÓDIGO[#All],4,FALSE),"")</f>
        <v/>
      </c>
      <c r="E611" s="30" t="str">
        <f>IFERROR(VLOOKUP(C611,T_CÓDIGO[#All],6,FALSE),"")</f>
        <v/>
      </c>
      <c r="F611" s="28"/>
      <c r="G611" s="30"/>
      <c r="H611" s="28"/>
      <c r="I611" s="30"/>
      <c r="J611" s="30"/>
      <c r="K611" s="30" t="str">
        <f>IFERROR(VLOOKUP(C611,T_CÓDIGO[#All],3,FALSE),"")</f>
        <v/>
      </c>
      <c r="L611" s="28"/>
      <c r="M611" s="28"/>
      <c r="N611" s="30"/>
    </row>
    <row r="612" spans="1:14" s="2" customFormat="1" ht="15" thickBot="1" x14ac:dyDescent="0.35">
      <c r="A612" s="29"/>
      <c r="B612" s="30">
        <f t="shared" si="9"/>
        <v>1</v>
      </c>
      <c r="C612" s="28"/>
      <c r="D612" s="35" t="str">
        <f>IFERROR(VLOOKUP(C612,T_CÓDIGO[#All],4,FALSE),"")</f>
        <v/>
      </c>
      <c r="E612" s="30" t="str">
        <f>IFERROR(VLOOKUP(C612,T_CÓDIGO[#All],6,FALSE),"")</f>
        <v/>
      </c>
      <c r="F612" s="28"/>
      <c r="G612" s="30"/>
      <c r="H612" s="28"/>
      <c r="I612" s="30"/>
      <c r="J612" s="30"/>
      <c r="K612" s="30" t="str">
        <f>IFERROR(VLOOKUP(C612,T_CÓDIGO[#All],3,FALSE),"")</f>
        <v/>
      </c>
      <c r="L612" s="28"/>
      <c r="M612" s="28"/>
      <c r="N612" s="30"/>
    </row>
    <row r="613" spans="1:14" s="2" customFormat="1" ht="15" thickBot="1" x14ac:dyDescent="0.35">
      <c r="A613" s="29"/>
      <c r="B613" s="30">
        <f t="shared" si="9"/>
        <v>1</v>
      </c>
      <c r="C613" s="28"/>
      <c r="D613" s="35" t="str">
        <f>IFERROR(VLOOKUP(C613,T_CÓDIGO[#All],4,FALSE),"")</f>
        <v/>
      </c>
      <c r="E613" s="30" t="str">
        <f>IFERROR(VLOOKUP(C613,T_CÓDIGO[#All],6,FALSE),"")</f>
        <v/>
      </c>
      <c r="F613" s="28"/>
      <c r="G613" s="30"/>
      <c r="H613" s="28"/>
      <c r="I613" s="30"/>
      <c r="J613" s="30"/>
      <c r="K613" s="30" t="str">
        <f>IFERROR(VLOOKUP(C613,T_CÓDIGO[#All],3,FALSE),"")</f>
        <v/>
      </c>
      <c r="L613" s="28"/>
      <c r="M613" s="28"/>
      <c r="N613" s="30"/>
    </row>
    <row r="614" spans="1:14" s="2" customFormat="1" ht="15" thickBot="1" x14ac:dyDescent="0.35">
      <c r="A614" s="29"/>
      <c r="B614" s="30">
        <f t="shared" si="9"/>
        <v>1</v>
      </c>
      <c r="C614" s="28"/>
      <c r="D614" s="35" t="str">
        <f>IFERROR(VLOOKUP(C614,T_CÓDIGO[#All],4,FALSE),"")</f>
        <v/>
      </c>
      <c r="E614" s="30" t="str">
        <f>IFERROR(VLOOKUP(C614,T_CÓDIGO[#All],6,FALSE),"")</f>
        <v/>
      </c>
      <c r="F614" s="28"/>
      <c r="G614" s="30"/>
      <c r="H614" s="28"/>
      <c r="I614" s="30"/>
      <c r="J614" s="30"/>
      <c r="K614" s="30" t="str">
        <f>IFERROR(VLOOKUP(C614,T_CÓDIGO[#All],3,FALSE),"")</f>
        <v/>
      </c>
      <c r="L614" s="28"/>
      <c r="M614" s="28"/>
      <c r="N614" s="30"/>
    </row>
    <row r="615" spans="1:14" s="2" customFormat="1" ht="15" thickBot="1" x14ac:dyDescent="0.35">
      <c r="A615" s="29"/>
      <c r="B615" s="30">
        <f t="shared" si="9"/>
        <v>1</v>
      </c>
      <c r="C615" s="28"/>
      <c r="D615" s="35" t="str">
        <f>IFERROR(VLOOKUP(C615,T_CÓDIGO[#All],4,FALSE),"")</f>
        <v/>
      </c>
      <c r="E615" s="30" t="str">
        <f>IFERROR(VLOOKUP(C615,T_CÓDIGO[#All],6,FALSE),"")</f>
        <v/>
      </c>
      <c r="F615" s="28"/>
      <c r="G615" s="30"/>
      <c r="H615" s="28"/>
      <c r="I615" s="30"/>
      <c r="J615" s="30"/>
      <c r="K615" s="30" t="str">
        <f>IFERROR(VLOOKUP(C615,T_CÓDIGO[#All],3,FALSE),"")</f>
        <v/>
      </c>
      <c r="L615" s="28"/>
      <c r="M615" s="28"/>
      <c r="N615" s="30"/>
    </row>
    <row r="616" spans="1:14" s="2" customFormat="1" ht="15" thickBot="1" x14ac:dyDescent="0.35">
      <c r="A616" s="29"/>
      <c r="B616" s="30">
        <f t="shared" si="9"/>
        <v>1</v>
      </c>
      <c r="C616" s="28"/>
      <c r="D616" s="35" t="str">
        <f>IFERROR(VLOOKUP(C616,T_CÓDIGO[#All],4,FALSE),"")</f>
        <v/>
      </c>
      <c r="E616" s="30" t="str">
        <f>IFERROR(VLOOKUP(C616,T_CÓDIGO[#All],6,FALSE),"")</f>
        <v/>
      </c>
      <c r="F616" s="28"/>
      <c r="G616" s="30"/>
      <c r="H616" s="28"/>
      <c r="I616" s="30"/>
      <c r="J616" s="30"/>
      <c r="K616" s="30" t="str">
        <f>IFERROR(VLOOKUP(C616,T_CÓDIGO[#All],3,FALSE),"")</f>
        <v/>
      </c>
      <c r="L616" s="28"/>
      <c r="M616" s="28"/>
      <c r="N616" s="30"/>
    </row>
    <row r="617" spans="1:14" s="2" customFormat="1" ht="15" thickBot="1" x14ac:dyDescent="0.35">
      <c r="A617" s="29"/>
      <c r="B617" s="30">
        <f t="shared" si="9"/>
        <v>1</v>
      </c>
      <c r="C617" s="28"/>
      <c r="D617" s="35" t="str">
        <f>IFERROR(VLOOKUP(C617,T_CÓDIGO[#All],4,FALSE),"")</f>
        <v/>
      </c>
      <c r="E617" s="30" t="str">
        <f>IFERROR(VLOOKUP(C617,T_CÓDIGO[#All],6,FALSE),"")</f>
        <v/>
      </c>
      <c r="F617" s="28"/>
      <c r="G617" s="30"/>
      <c r="H617" s="28"/>
      <c r="I617" s="30"/>
      <c r="J617" s="30"/>
      <c r="K617" s="30" t="str">
        <f>IFERROR(VLOOKUP(C617,T_CÓDIGO[#All],3,FALSE),"")</f>
        <v/>
      </c>
      <c r="L617" s="28"/>
      <c r="M617" s="28"/>
      <c r="N617" s="30"/>
    </row>
    <row r="618" spans="1:14" s="2" customFormat="1" ht="15" thickBot="1" x14ac:dyDescent="0.35">
      <c r="A618" s="29"/>
      <c r="B618" s="30">
        <f t="shared" si="9"/>
        <v>1</v>
      </c>
      <c r="C618" s="28"/>
      <c r="D618" s="35" t="str">
        <f>IFERROR(VLOOKUP(C618,T_CÓDIGO[#All],4,FALSE),"")</f>
        <v/>
      </c>
      <c r="E618" s="30" t="str">
        <f>IFERROR(VLOOKUP(C618,T_CÓDIGO[#All],6,FALSE),"")</f>
        <v/>
      </c>
      <c r="F618" s="28"/>
      <c r="G618" s="30"/>
      <c r="H618" s="28"/>
      <c r="I618" s="30"/>
      <c r="J618" s="30"/>
      <c r="K618" s="30" t="str">
        <f>IFERROR(VLOOKUP(C618,T_CÓDIGO[#All],3,FALSE),"")</f>
        <v/>
      </c>
      <c r="L618" s="28"/>
      <c r="M618" s="28"/>
      <c r="N618" s="30"/>
    </row>
    <row r="619" spans="1:14" s="2" customFormat="1" ht="15" thickBot="1" x14ac:dyDescent="0.35">
      <c r="A619" s="29"/>
      <c r="B619" s="30">
        <f t="shared" si="9"/>
        <v>1</v>
      </c>
      <c r="C619" s="28"/>
      <c r="D619" s="35" t="str">
        <f>IFERROR(VLOOKUP(C619,T_CÓDIGO[#All],4,FALSE),"")</f>
        <v/>
      </c>
      <c r="E619" s="30" t="str">
        <f>IFERROR(VLOOKUP(C619,T_CÓDIGO[#All],6,FALSE),"")</f>
        <v/>
      </c>
      <c r="F619" s="28"/>
      <c r="G619" s="30"/>
      <c r="H619" s="28"/>
      <c r="I619" s="30"/>
      <c r="J619" s="30"/>
      <c r="K619" s="30" t="str">
        <f>IFERROR(VLOOKUP(C619,T_CÓDIGO[#All],3,FALSE),"")</f>
        <v/>
      </c>
      <c r="L619" s="28"/>
      <c r="M619" s="28"/>
      <c r="N619" s="30"/>
    </row>
    <row r="620" spans="1:14" s="2" customFormat="1" ht="15" thickBot="1" x14ac:dyDescent="0.35">
      <c r="A620" s="29"/>
      <c r="B620" s="30">
        <f t="shared" si="9"/>
        <v>1</v>
      </c>
      <c r="C620" s="28"/>
      <c r="D620" s="35" t="str">
        <f>IFERROR(VLOOKUP(C620,T_CÓDIGO[#All],4,FALSE),"")</f>
        <v/>
      </c>
      <c r="E620" s="30" t="str">
        <f>IFERROR(VLOOKUP(C620,T_CÓDIGO[#All],6,FALSE),"")</f>
        <v/>
      </c>
      <c r="F620" s="28"/>
      <c r="G620" s="30"/>
      <c r="H620" s="28"/>
      <c r="I620" s="30"/>
      <c r="J620" s="30"/>
      <c r="K620" s="30" t="str">
        <f>IFERROR(VLOOKUP(C620,T_CÓDIGO[#All],3,FALSE),"")</f>
        <v/>
      </c>
      <c r="L620" s="28"/>
      <c r="M620" s="28"/>
      <c r="N620" s="30"/>
    </row>
    <row r="621" spans="1:14" s="2" customFormat="1" ht="15" thickBot="1" x14ac:dyDescent="0.35">
      <c r="A621" s="29"/>
      <c r="B621" s="30">
        <f t="shared" si="9"/>
        <v>1</v>
      </c>
      <c r="C621" s="28"/>
      <c r="D621" s="35" t="str">
        <f>IFERROR(VLOOKUP(C621,T_CÓDIGO[#All],4,FALSE),"")</f>
        <v/>
      </c>
      <c r="E621" s="30" t="str">
        <f>IFERROR(VLOOKUP(C621,T_CÓDIGO[#All],6,FALSE),"")</f>
        <v/>
      </c>
      <c r="F621" s="28"/>
      <c r="G621" s="30"/>
      <c r="H621" s="28"/>
      <c r="I621" s="30"/>
      <c r="J621" s="30"/>
      <c r="K621" s="30" t="str">
        <f>IFERROR(VLOOKUP(C621,T_CÓDIGO[#All],3,FALSE),"")</f>
        <v/>
      </c>
      <c r="L621" s="28"/>
      <c r="M621" s="28"/>
      <c r="N621" s="30"/>
    </row>
    <row r="622" spans="1:14" s="2" customFormat="1" ht="15" thickBot="1" x14ac:dyDescent="0.35">
      <c r="A622" s="29"/>
      <c r="B622" s="30">
        <f t="shared" si="9"/>
        <v>1</v>
      </c>
      <c r="C622" s="28"/>
      <c r="D622" s="35" t="str">
        <f>IFERROR(VLOOKUP(C622,T_CÓDIGO[#All],4,FALSE),"")</f>
        <v/>
      </c>
      <c r="E622" s="30" t="str">
        <f>IFERROR(VLOOKUP(C622,T_CÓDIGO[#All],6,FALSE),"")</f>
        <v/>
      </c>
      <c r="F622" s="28"/>
      <c r="G622" s="30"/>
      <c r="H622" s="28"/>
      <c r="I622" s="30"/>
      <c r="J622" s="30"/>
      <c r="K622" s="30" t="str">
        <f>IFERROR(VLOOKUP(C622,T_CÓDIGO[#All],3,FALSE),"")</f>
        <v/>
      </c>
      <c r="L622" s="28"/>
      <c r="M622" s="28"/>
      <c r="N622" s="30"/>
    </row>
    <row r="623" spans="1:14" s="2" customFormat="1" ht="15" thickBot="1" x14ac:dyDescent="0.35">
      <c r="A623" s="29"/>
      <c r="B623" s="30">
        <f t="shared" si="9"/>
        <v>1</v>
      </c>
      <c r="C623" s="28"/>
      <c r="D623" s="35" t="str">
        <f>IFERROR(VLOOKUP(C623,T_CÓDIGO[#All],4,FALSE),"")</f>
        <v/>
      </c>
      <c r="E623" s="30" t="str">
        <f>IFERROR(VLOOKUP(C623,T_CÓDIGO[#All],6,FALSE),"")</f>
        <v/>
      </c>
      <c r="F623" s="28"/>
      <c r="G623" s="30"/>
      <c r="H623" s="28"/>
      <c r="I623" s="30"/>
      <c r="J623" s="30"/>
      <c r="K623" s="30" t="str">
        <f>IFERROR(VLOOKUP(C623,T_CÓDIGO[#All],3,FALSE),"")</f>
        <v/>
      </c>
      <c r="L623" s="28"/>
      <c r="M623" s="28"/>
      <c r="N623" s="30"/>
    </row>
    <row r="624" spans="1:14" s="2" customFormat="1" ht="15" thickBot="1" x14ac:dyDescent="0.35">
      <c r="A624" s="29"/>
      <c r="B624" s="30">
        <f t="shared" si="9"/>
        <v>1</v>
      </c>
      <c r="C624" s="28"/>
      <c r="D624" s="35" t="str">
        <f>IFERROR(VLOOKUP(C624,T_CÓDIGO[#All],4,FALSE),"")</f>
        <v/>
      </c>
      <c r="E624" s="30" t="str">
        <f>IFERROR(VLOOKUP(C624,T_CÓDIGO[#All],6,FALSE),"")</f>
        <v/>
      </c>
      <c r="F624" s="28"/>
      <c r="G624" s="30"/>
      <c r="H624" s="28"/>
      <c r="I624" s="30"/>
      <c r="J624" s="30"/>
      <c r="K624" s="30" t="str">
        <f>IFERROR(VLOOKUP(C624,T_CÓDIGO[#All],3,FALSE),"")</f>
        <v/>
      </c>
      <c r="L624" s="28"/>
      <c r="M624" s="28"/>
      <c r="N624" s="30"/>
    </row>
    <row r="625" spans="1:14" s="2" customFormat="1" ht="15" thickBot="1" x14ac:dyDescent="0.35">
      <c r="A625" s="29"/>
      <c r="B625" s="30">
        <f t="shared" si="9"/>
        <v>1</v>
      </c>
      <c r="C625" s="28"/>
      <c r="D625" s="35" t="str">
        <f>IFERROR(VLOOKUP(C625,T_CÓDIGO[#All],4,FALSE),"")</f>
        <v/>
      </c>
      <c r="E625" s="30" t="str">
        <f>IFERROR(VLOOKUP(C625,T_CÓDIGO[#All],6,FALSE),"")</f>
        <v/>
      </c>
      <c r="F625" s="28"/>
      <c r="G625" s="30"/>
      <c r="H625" s="28"/>
      <c r="I625" s="30"/>
      <c r="J625" s="30"/>
      <c r="K625" s="30" t="str">
        <f>IFERROR(VLOOKUP(C625,T_CÓDIGO[#All],3,FALSE),"")</f>
        <v/>
      </c>
      <c r="L625" s="28"/>
      <c r="M625" s="28"/>
      <c r="N625" s="30"/>
    </row>
    <row r="626" spans="1:14" s="2" customFormat="1" ht="15" thickBot="1" x14ac:dyDescent="0.35">
      <c r="A626" s="29"/>
      <c r="B626" s="30">
        <f t="shared" si="9"/>
        <v>1</v>
      </c>
      <c r="C626" s="28"/>
      <c r="D626" s="35" t="str">
        <f>IFERROR(VLOOKUP(C626,T_CÓDIGO[#All],4,FALSE),"")</f>
        <v/>
      </c>
      <c r="E626" s="30" t="str">
        <f>IFERROR(VLOOKUP(C626,T_CÓDIGO[#All],6,FALSE),"")</f>
        <v/>
      </c>
      <c r="F626" s="28"/>
      <c r="G626" s="30"/>
      <c r="H626" s="28"/>
      <c r="I626" s="30"/>
      <c r="J626" s="30"/>
      <c r="K626" s="30" t="str">
        <f>IFERROR(VLOOKUP(C626,T_CÓDIGO[#All],3,FALSE),"")</f>
        <v/>
      </c>
      <c r="L626" s="28"/>
      <c r="M626" s="28"/>
      <c r="N626" s="30"/>
    </row>
    <row r="627" spans="1:14" s="2" customFormat="1" ht="15" thickBot="1" x14ac:dyDescent="0.35">
      <c r="A627" s="29"/>
      <c r="B627" s="30">
        <f t="shared" si="9"/>
        <v>1</v>
      </c>
      <c r="C627" s="28"/>
      <c r="D627" s="35" t="str">
        <f>IFERROR(VLOOKUP(C627,T_CÓDIGO[#All],4,FALSE),"")</f>
        <v/>
      </c>
      <c r="E627" s="30" t="str">
        <f>IFERROR(VLOOKUP(C627,T_CÓDIGO[#All],6,FALSE),"")</f>
        <v/>
      </c>
      <c r="F627" s="28"/>
      <c r="G627" s="30"/>
      <c r="H627" s="28"/>
      <c r="I627" s="30"/>
      <c r="J627" s="30"/>
      <c r="K627" s="30" t="str">
        <f>IFERROR(VLOOKUP(C627,T_CÓDIGO[#All],3,FALSE),"")</f>
        <v/>
      </c>
      <c r="L627" s="28"/>
      <c r="M627" s="28"/>
      <c r="N627" s="30"/>
    </row>
    <row r="628" spans="1:14" s="2" customFormat="1" ht="15" thickBot="1" x14ac:dyDescent="0.35">
      <c r="A628" s="29"/>
      <c r="B628" s="30">
        <f t="shared" si="9"/>
        <v>1</v>
      </c>
      <c r="C628" s="28"/>
      <c r="D628" s="35" t="str">
        <f>IFERROR(VLOOKUP(C628,T_CÓDIGO[#All],4,FALSE),"")</f>
        <v/>
      </c>
      <c r="E628" s="30" t="str">
        <f>IFERROR(VLOOKUP(C628,T_CÓDIGO[#All],6,FALSE),"")</f>
        <v/>
      </c>
      <c r="F628" s="28"/>
      <c r="G628" s="30"/>
      <c r="H628" s="28"/>
      <c r="I628" s="30"/>
      <c r="J628" s="30"/>
      <c r="K628" s="30" t="str">
        <f>IFERROR(VLOOKUP(C628,T_CÓDIGO[#All],3,FALSE),"")</f>
        <v/>
      </c>
      <c r="L628" s="28"/>
      <c r="M628" s="28"/>
      <c r="N628" s="30"/>
    </row>
    <row r="629" spans="1:14" s="2" customFormat="1" ht="15" thickBot="1" x14ac:dyDescent="0.35">
      <c r="A629" s="29"/>
      <c r="B629" s="30">
        <f t="shared" si="9"/>
        <v>1</v>
      </c>
      <c r="C629" s="28"/>
      <c r="D629" s="35" t="str">
        <f>IFERROR(VLOOKUP(C629,T_CÓDIGO[#All],4,FALSE),"")</f>
        <v/>
      </c>
      <c r="E629" s="30" t="str">
        <f>IFERROR(VLOOKUP(C629,T_CÓDIGO[#All],6,FALSE),"")</f>
        <v/>
      </c>
      <c r="F629" s="28"/>
      <c r="G629" s="30"/>
      <c r="H629" s="28"/>
      <c r="I629" s="30"/>
      <c r="J629" s="30"/>
      <c r="K629" s="30" t="str">
        <f>IFERROR(VLOOKUP(C629,T_CÓDIGO[#All],3,FALSE),"")</f>
        <v/>
      </c>
      <c r="L629" s="28"/>
      <c r="M629" s="28"/>
      <c r="N629" s="30"/>
    </row>
    <row r="630" spans="1:14" s="2" customFormat="1" ht="15" thickBot="1" x14ac:dyDescent="0.35">
      <c r="A630" s="29"/>
      <c r="B630" s="30">
        <f t="shared" si="9"/>
        <v>1</v>
      </c>
      <c r="C630" s="28"/>
      <c r="D630" s="35" t="str">
        <f>IFERROR(VLOOKUP(C630,T_CÓDIGO[#All],4,FALSE),"")</f>
        <v/>
      </c>
      <c r="E630" s="30" t="str">
        <f>IFERROR(VLOOKUP(C630,T_CÓDIGO[#All],6,FALSE),"")</f>
        <v/>
      </c>
      <c r="F630" s="28"/>
      <c r="G630" s="30"/>
      <c r="H630" s="28"/>
      <c r="I630" s="30"/>
      <c r="J630" s="30"/>
      <c r="K630" s="30" t="str">
        <f>IFERROR(VLOOKUP(C630,T_CÓDIGO[#All],3,FALSE),"")</f>
        <v/>
      </c>
      <c r="L630" s="28"/>
      <c r="M630" s="28"/>
      <c r="N630" s="30"/>
    </row>
    <row r="631" spans="1:14" s="2" customFormat="1" ht="15" thickBot="1" x14ac:dyDescent="0.35">
      <c r="A631" s="29"/>
      <c r="B631" s="30">
        <f t="shared" si="9"/>
        <v>1</v>
      </c>
      <c r="C631" s="28"/>
      <c r="D631" s="35" t="str">
        <f>IFERROR(VLOOKUP(C631,T_CÓDIGO[#All],4,FALSE),"")</f>
        <v/>
      </c>
      <c r="E631" s="30" t="str">
        <f>IFERROR(VLOOKUP(C631,T_CÓDIGO[#All],6,FALSE),"")</f>
        <v/>
      </c>
      <c r="F631" s="28"/>
      <c r="G631" s="30"/>
      <c r="H631" s="28"/>
      <c r="I631" s="30"/>
      <c r="J631" s="30"/>
      <c r="K631" s="30" t="str">
        <f>IFERROR(VLOOKUP(C631,T_CÓDIGO[#All],3,FALSE),"")</f>
        <v/>
      </c>
      <c r="L631" s="28"/>
      <c r="M631" s="28"/>
      <c r="N631" s="30"/>
    </row>
    <row r="632" spans="1:14" s="2" customFormat="1" ht="15" thickBot="1" x14ac:dyDescent="0.35">
      <c r="A632" s="29"/>
      <c r="B632" s="30">
        <f t="shared" si="9"/>
        <v>1</v>
      </c>
      <c r="C632" s="28"/>
      <c r="D632" s="35" t="str">
        <f>IFERROR(VLOOKUP(C632,T_CÓDIGO[#All],4,FALSE),"")</f>
        <v/>
      </c>
      <c r="E632" s="30" t="str">
        <f>IFERROR(VLOOKUP(C632,T_CÓDIGO[#All],6,FALSE),"")</f>
        <v/>
      </c>
      <c r="F632" s="28"/>
      <c r="G632" s="30"/>
      <c r="H632" s="28"/>
      <c r="I632" s="30"/>
      <c r="J632" s="30"/>
      <c r="K632" s="30" t="str">
        <f>IFERROR(VLOOKUP(C632,T_CÓDIGO[#All],3,FALSE),"")</f>
        <v/>
      </c>
      <c r="L632" s="28"/>
      <c r="M632" s="28"/>
      <c r="N632" s="30"/>
    </row>
    <row r="633" spans="1:14" s="2" customFormat="1" ht="15" thickBot="1" x14ac:dyDescent="0.35">
      <c r="A633" s="29"/>
      <c r="B633" s="30">
        <f t="shared" si="9"/>
        <v>1</v>
      </c>
      <c r="C633" s="28"/>
      <c r="D633" s="35" t="str">
        <f>IFERROR(VLOOKUP(C633,T_CÓDIGO[#All],4,FALSE),"")</f>
        <v/>
      </c>
      <c r="E633" s="30" t="str">
        <f>IFERROR(VLOOKUP(C633,T_CÓDIGO[#All],6,FALSE),"")</f>
        <v/>
      </c>
      <c r="F633" s="28"/>
      <c r="G633" s="30"/>
      <c r="H633" s="28"/>
      <c r="I633" s="30"/>
      <c r="J633" s="30"/>
      <c r="K633" s="30" t="str">
        <f>IFERROR(VLOOKUP(C633,T_CÓDIGO[#All],3,FALSE),"")</f>
        <v/>
      </c>
      <c r="L633" s="28"/>
      <c r="M633" s="28"/>
      <c r="N633" s="30"/>
    </row>
    <row r="634" spans="1:14" s="2" customFormat="1" ht="15" thickBot="1" x14ac:dyDescent="0.35">
      <c r="A634" s="29"/>
      <c r="B634" s="30">
        <f t="shared" si="9"/>
        <v>1</v>
      </c>
      <c r="C634" s="28"/>
      <c r="D634" s="35" t="str">
        <f>IFERROR(VLOOKUP(C634,T_CÓDIGO[#All],4,FALSE),"")</f>
        <v/>
      </c>
      <c r="E634" s="30" t="str">
        <f>IFERROR(VLOOKUP(C634,T_CÓDIGO[#All],6,FALSE),"")</f>
        <v/>
      </c>
      <c r="F634" s="28"/>
      <c r="G634" s="30"/>
      <c r="H634" s="28"/>
      <c r="I634" s="30"/>
      <c r="J634" s="30"/>
      <c r="K634" s="30" t="str">
        <f>IFERROR(VLOOKUP(C634,T_CÓDIGO[#All],3,FALSE),"")</f>
        <v/>
      </c>
      <c r="L634" s="28"/>
      <c r="M634" s="28"/>
      <c r="N634" s="30"/>
    </row>
    <row r="635" spans="1:14" s="2" customFormat="1" ht="15" thickBot="1" x14ac:dyDescent="0.35">
      <c r="A635" s="29"/>
      <c r="B635" s="30">
        <f t="shared" si="9"/>
        <v>1</v>
      </c>
      <c r="C635" s="28"/>
      <c r="D635" s="35" t="str">
        <f>IFERROR(VLOOKUP(C635,T_CÓDIGO[#All],4,FALSE),"")</f>
        <v/>
      </c>
      <c r="E635" s="30" t="str">
        <f>IFERROR(VLOOKUP(C635,T_CÓDIGO[#All],6,FALSE),"")</f>
        <v/>
      </c>
      <c r="F635" s="28"/>
      <c r="G635" s="30"/>
      <c r="H635" s="28"/>
      <c r="I635" s="30"/>
      <c r="J635" s="30"/>
      <c r="K635" s="30" t="str">
        <f>IFERROR(VLOOKUP(C635,T_CÓDIGO[#All],3,FALSE),"")</f>
        <v/>
      </c>
      <c r="L635" s="28"/>
      <c r="M635" s="28"/>
      <c r="N635" s="30"/>
    </row>
    <row r="636" spans="1:14" s="2" customFormat="1" ht="15" thickBot="1" x14ac:dyDescent="0.35">
      <c r="A636" s="29"/>
      <c r="B636" s="30">
        <f t="shared" si="9"/>
        <v>1</v>
      </c>
      <c r="C636" s="28"/>
      <c r="D636" s="35" t="str">
        <f>IFERROR(VLOOKUP(C636,T_CÓDIGO[#All],4,FALSE),"")</f>
        <v/>
      </c>
      <c r="E636" s="30" t="str">
        <f>IFERROR(VLOOKUP(C636,T_CÓDIGO[#All],6,FALSE),"")</f>
        <v/>
      </c>
      <c r="F636" s="28"/>
      <c r="G636" s="30"/>
      <c r="H636" s="28"/>
      <c r="I636" s="30"/>
      <c r="J636" s="30"/>
      <c r="K636" s="30" t="str">
        <f>IFERROR(VLOOKUP(C636,T_CÓDIGO[#All],3,FALSE),"")</f>
        <v/>
      </c>
      <c r="L636" s="28"/>
      <c r="M636" s="28"/>
      <c r="N636" s="30"/>
    </row>
    <row r="637" spans="1:14" s="2" customFormat="1" ht="15" thickBot="1" x14ac:dyDescent="0.35">
      <c r="A637" s="29"/>
      <c r="B637" s="30">
        <f t="shared" si="9"/>
        <v>1</v>
      </c>
      <c r="C637" s="28"/>
      <c r="D637" s="35" t="str">
        <f>IFERROR(VLOOKUP(C637,T_CÓDIGO[#All],4,FALSE),"")</f>
        <v/>
      </c>
      <c r="E637" s="30" t="str">
        <f>IFERROR(VLOOKUP(C637,T_CÓDIGO[#All],6,FALSE),"")</f>
        <v/>
      </c>
      <c r="F637" s="28"/>
      <c r="G637" s="30"/>
      <c r="H637" s="28"/>
      <c r="I637" s="30"/>
      <c r="J637" s="30"/>
      <c r="K637" s="30" t="str">
        <f>IFERROR(VLOOKUP(C637,T_CÓDIGO[#All],3,FALSE),"")</f>
        <v/>
      </c>
      <c r="L637" s="28"/>
      <c r="M637" s="28"/>
      <c r="N637" s="30"/>
    </row>
    <row r="638" spans="1:14" s="2" customFormat="1" ht="15" thickBot="1" x14ac:dyDescent="0.35">
      <c r="A638" s="29"/>
      <c r="B638" s="30">
        <f t="shared" si="9"/>
        <v>1</v>
      </c>
      <c r="C638" s="28"/>
      <c r="D638" s="35" t="str">
        <f>IFERROR(VLOOKUP(C638,T_CÓDIGO[#All],4,FALSE),"")</f>
        <v/>
      </c>
      <c r="E638" s="30" t="str">
        <f>IFERROR(VLOOKUP(C638,T_CÓDIGO[#All],6,FALSE),"")</f>
        <v/>
      </c>
      <c r="F638" s="28"/>
      <c r="G638" s="30"/>
      <c r="H638" s="28"/>
      <c r="I638" s="30"/>
      <c r="J638" s="30"/>
      <c r="K638" s="30" t="str">
        <f>IFERROR(VLOOKUP(C638,T_CÓDIGO[#All],3,FALSE),"")</f>
        <v/>
      </c>
      <c r="L638" s="28"/>
      <c r="M638" s="28"/>
      <c r="N638" s="30"/>
    </row>
    <row r="639" spans="1:14" s="2" customFormat="1" ht="15" thickBot="1" x14ac:dyDescent="0.35">
      <c r="A639" s="29"/>
      <c r="B639" s="30">
        <f t="shared" si="9"/>
        <v>1</v>
      </c>
      <c r="C639" s="28"/>
      <c r="D639" s="35" t="str">
        <f>IFERROR(VLOOKUP(C639,T_CÓDIGO[#All],4,FALSE),"")</f>
        <v/>
      </c>
      <c r="E639" s="30" t="str">
        <f>IFERROR(VLOOKUP(C639,T_CÓDIGO[#All],6,FALSE),"")</f>
        <v/>
      </c>
      <c r="F639" s="28"/>
      <c r="G639" s="30"/>
      <c r="H639" s="28"/>
      <c r="I639" s="30"/>
      <c r="J639" s="30"/>
      <c r="K639" s="30" t="str">
        <f>IFERROR(VLOOKUP(C639,T_CÓDIGO[#All],3,FALSE),"")</f>
        <v/>
      </c>
      <c r="L639" s="28"/>
      <c r="M639" s="28"/>
      <c r="N639" s="30"/>
    </row>
    <row r="640" spans="1:14" s="2" customFormat="1" ht="15" thickBot="1" x14ac:dyDescent="0.35">
      <c r="A640" s="29"/>
      <c r="B640" s="30">
        <f t="shared" si="9"/>
        <v>1</v>
      </c>
      <c r="C640" s="28"/>
      <c r="D640" s="35" t="str">
        <f>IFERROR(VLOOKUP(C640,T_CÓDIGO[#All],4,FALSE),"")</f>
        <v/>
      </c>
      <c r="E640" s="30" t="str">
        <f>IFERROR(VLOOKUP(C640,T_CÓDIGO[#All],6,FALSE),"")</f>
        <v/>
      </c>
      <c r="F640" s="28"/>
      <c r="G640" s="30"/>
      <c r="H640" s="28"/>
      <c r="I640" s="30"/>
      <c r="J640" s="30"/>
      <c r="K640" s="30" t="str">
        <f>IFERROR(VLOOKUP(C640,T_CÓDIGO[#All],3,FALSE),"")</f>
        <v/>
      </c>
      <c r="L640" s="28"/>
      <c r="M640" s="28"/>
      <c r="N640" s="30"/>
    </row>
    <row r="641" spans="1:14" s="2" customFormat="1" ht="15" thickBot="1" x14ac:dyDescent="0.35">
      <c r="A641" s="29"/>
      <c r="B641" s="30">
        <f t="shared" si="9"/>
        <v>1</v>
      </c>
      <c r="C641" s="28"/>
      <c r="D641" s="35" t="str">
        <f>IFERROR(VLOOKUP(C641,T_CÓDIGO[#All],4,FALSE),"")</f>
        <v/>
      </c>
      <c r="E641" s="30" t="str">
        <f>IFERROR(VLOOKUP(C641,T_CÓDIGO[#All],6,FALSE),"")</f>
        <v/>
      </c>
      <c r="F641" s="28"/>
      <c r="G641" s="30"/>
      <c r="H641" s="28"/>
      <c r="I641" s="30"/>
      <c r="J641" s="30"/>
      <c r="K641" s="30" t="str">
        <f>IFERROR(VLOOKUP(C641,T_CÓDIGO[#All],3,FALSE),"")</f>
        <v/>
      </c>
      <c r="L641" s="28"/>
      <c r="M641" s="28"/>
      <c r="N641" s="30"/>
    </row>
    <row r="642" spans="1:14" s="2" customFormat="1" ht="15" thickBot="1" x14ac:dyDescent="0.35">
      <c r="A642" s="29"/>
      <c r="B642" s="30">
        <f t="shared" si="9"/>
        <v>1</v>
      </c>
      <c r="C642" s="28"/>
      <c r="D642" s="35" t="str">
        <f>IFERROR(VLOOKUP(C642,T_CÓDIGO[#All],4,FALSE),"")</f>
        <v/>
      </c>
      <c r="E642" s="30" t="str">
        <f>IFERROR(VLOOKUP(C642,T_CÓDIGO[#All],6,FALSE),"")</f>
        <v/>
      </c>
      <c r="F642" s="28"/>
      <c r="G642" s="30"/>
      <c r="H642" s="28"/>
      <c r="I642" s="30"/>
      <c r="J642" s="30"/>
      <c r="K642" s="30" t="str">
        <f>IFERROR(VLOOKUP(C642,T_CÓDIGO[#All],3,FALSE),"")</f>
        <v/>
      </c>
      <c r="L642" s="28"/>
      <c r="M642" s="28"/>
      <c r="N642" s="30"/>
    </row>
    <row r="643" spans="1:14" s="2" customFormat="1" ht="15" thickBot="1" x14ac:dyDescent="0.35">
      <c r="A643" s="29"/>
      <c r="B643" s="30">
        <f t="shared" si="9"/>
        <v>1</v>
      </c>
      <c r="C643" s="28"/>
      <c r="D643" s="35" t="str">
        <f>IFERROR(VLOOKUP(C643,T_CÓDIGO[#All],4,FALSE),"")</f>
        <v/>
      </c>
      <c r="E643" s="30" t="str">
        <f>IFERROR(VLOOKUP(C643,T_CÓDIGO[#All],6,FALSE),"")</f>
        <v/>
      </c>
      <c r="F643" s="28"/>
      <c r="G643" s="30"/>
      <c r="H643" s="28"/>
      <c r="I643" s="30"/>
      <c r="J643" s="30"/>
      <c r="K643" s="30" t="str">
        <f>IFERROR(VLOOKUP(C643,T_CÓDIGO[#All],3,FALSE),"")</f>
        <v/>
      </c>
      <c r="L643" s="28"/>
      <c r="M643" s="28"/>
      <c r="N643" s="30"/>
    </row>
    <row r="644" spans="1:14" s="2" customFormat="1" ht="15" thickBot="1" x14ac:dyDescent="0.35">
      <c r="A644" s="29"/>
      <c r="B644" s="30">
        <f t="shared" si="9"/>
        <v>1</v>
      </c>
      <c r="C644" s="28"/>
      <c r="D644" s="35" t="str">
        <f>IFERROR(VLOOKUP(C644,T_CÓDIGO[#All],4,FALSE),"")</f>
        <v/>
      </c>
      <c r="E644" s="30" t="str">
        <f>IFERROR(VLOOKUP(C644,T_CÓDIGO[#All],6,FALSE),"")</f>
        <v/>
      </c>
      <c r="F644" s="28"/>
      <c r="G644" s="30"/>
      <c r="H644" s="28"/>
      <c r="I644" s="30"/>
      <c r="J644" s="30"/>
      <c r="K644" s="30" t="str">
        <f>IFERROR(VLOOKUP(C644,T_CÓDIGO[#All],3,FALSE),"")</f>
        <v/>
      </c>
      <c r="L644" s="28"/>
      <c r="M644" s="28"/>
      <c r="N644" s="30"/>
    </row>
    <row r="645" spans="1:14" s="2" customFormat="1" ht="15" thickBot="1" x14ac:dyDescent="0.35">
      <c r="A645" s="29"/>
      <c r="B645" s="30">
        <f t="shared" si="9"/>
        <v>1</v>
      </c>
      <c r="C645" s="28"/>
      <c r="D645" s="35" t="str">
        <f>IFERROR(VLOOKUP(C645,T_CÓDIGO[#All],4,FALSE),"")</f>
        <v/>
      </c>
      <c r="E645" s="30" t="str">
        <f>IFERROR(VLOOKUP(C645,T_CÓDIGO[#All],6,FALSE),"")</f>
        <v/>
      </c>
      <c r="F645" s="28"/>
      <c r="G645" s="30"/>
      <c r="H645" s="28"/>
      <c r="I645" s="30"/>
      <c r="J645" s="30"/>
      <c r="K645" s="30" t="str">
        <f>IFERROR(VLOOKUP(C645,T_CÓDIGO[#All],3,FALSE),"")</f>
        <v/>
      </c>
      <c r="L645" s="28"/>
      <c r="M645" s="28"/>
      <c r="N645" s="30"/>
    </row>
    <row r="646" spans="1:14" s="2" customFormat="1" ht="15" thickBot="1" x14ac:dyDescent="0.35">
      <c r="A646" s="29"/>
      <c r="B646" s="30">
        <f t="shared" si="9"/>
        <v>1</v>
      </c>
      <c r="C646" s="28"/>
      <c r="D646" s="35" t="str">
        <f>IFERROR(VLOOKUP(C646,T_CÓDIGO[#All],4,FALSE),"")</f>
        <v/>
      </c>
      <c r="E646" s="30" t="str">
        <f>IFERROR(VLOOKUP(C646,T_CÓDIGO[#All],6,FALSE),"")</f>
        <v/>
      </c>
      <c r="F646" s="28"/>
      <c r="G646" s="30"/>
      <c r="H646" s="28"/>
      <c r="I646" s="30"/>
      <c r="J646" s="30"/>
      <c r="K646" s="30" t="str">
        <f>IFERROR(VLOOKUP(C646,T_CÓDIGO[#All],3,FALSE),"")</f>
        <v/>
      </c>
      <c r="L646" s="28"/>
      <c r="M646" s="28"/>
      <c r="N646" s="30"/>
    </row>
    <row r="647" spans="1:14" s="2" customFormat="1" ht="15" thickBot="1" x14ac:dyDescent="0.35">
      <c r="A647" s="29"/>
      <c r="B647" s="30">
        <f t="shared" si="9"/>
        <v>1</v>
      </c>
      <c r="C647" s="28"/>
      <c r="D647" s="35" t="str">
        <f>IFERROR(VLOOKUP(C647,T_CÓDIGO[#All],4,FALSE),"")</f>
        <v/>
      </c>
      <c r="E647" s="30" t="str">
        <f>IFERROR(VLOOKUP(C647,T_CÓDIGO[#All],6,FALSE),"")</f>
        <v/>
      </c>
      <c r="F647" s="28"/>
      <c r="G647" s="30"/>
      <c r="H647" s="28"/>
      <c r="I647" s="30"/>
      <c r="J647" s="30"/>
      <c r="K647" s="30" t="str">
        <f>IFERROR(VLOOKUP(C647,T_CÓDIGO[#All],3,FALSE),"")</f>
        <v/>
      </c>
      <c r="L647" s="28"/>
      <c r="M647" s="28"/>
      <c r="N647" s="30"/>
    </row>
    <row r="648" spans="1:14" s="2" customFormat="1" ht="15" thickBot="1" x14ac:dyDescent="0.35">
      <c r="A648" s="29"/>
      <c r="B648" s="30">
        <f t="shared" si="9"/>
        <v>1</v>
      </c>
      <c r="C648" s="28"/>
      <c r="D648" s="35" t="str">
        <f>IFERROR(VLOOKUP(C648,T_CÓDIGO[#All],4,FALSE),"")</f>
        <v/>
      </c>
      <c r="E648" s="30" t="str">
        <f>IFERROR(VLOOKUP(C648,T_CÓDIGO[#All],6,FALSE),"")</f>
        <v/>
      </c>
      <c r="F648" s="28"/>
      <c r="G648" s="30"/>
      <c r="H648" s="28"/>
      <c r="I648" s="30"/>
      <c r="J648" s="30"/>
      <c r="K648" s="30" t="str">
        <f>IFERROR(VLOOKUP(C648,T_CÓDIGO[#All],3,FALSE),"")</f>
        <v/>
      </c>
      <c r="L648" s="28"/>
      <c r="M648" s="28"/>
      <c r="N648" s="30"/>
    </row>
    <row r="649" spans="1:14" s="2" customFormat="1" ht="15" thickBot="1" x14ac:dyDescent="0.35">
      <c r="A649" s="29"/>
      <c r="B649" s="30">
        <f t="shared" si="9"/>
        <v>1</v>
      </c>
      <c r="C649" s="28"/>
      <c r="D649" s="35" t="str">
        <f>IFERROR(VLOOKUP(C649,T_CÓDIGO[#All],4,FALSE),"")</f>
        <v/>
      </c>
      <c r="E649" s="30" t="str">
        <f>IFERROR(VLOOKUP(C649,T_CÓDIGO[#All],6,FALSE),"")</f>
        <v/>
      </c>
      <c r="F649" s="28"/>
      <c r="G649" s="30"/>
      <c r="H649" s="28"/>
      <c r="I649" s="30"/>
      <c r="J649" s="30"/>
      <c r="K649" s="30" t="str">
        <f>IFERROR(VLOOKUP(C649,T_CÓDIGO[#All],3,FALSE),"")</f>
        <v/>
      </c>
      <c r="L649" s="28"/>
      <c r="M649" s="28"/>
      <c r="N649" s="30"/>
    </row>
    <row r="650" spans="1:14" s="2" customFormat="1" ht="15" thickBot="1" x14ac:dyDescent="0.35">
      <c r="A650" s="29"/>
      <c r="B650" s="30">
        <f t="shared" ref="B650:B713" si="10">MONTH(A650)</f>
        <v>1</v>
      </c>
      <c r="C650" s="28"/>
      <c r="D650" s="35" t="str">
        <f>IFERROR(VLOOKUP(C650,T_CÓDIGO[#All],4,FALSE),"")</f>
        <v/>
      </c>
      <c r="E650" s="30" t="str">
        <f>IFERROR(VLOOKUP(C650,T_CÓDIGO[#All],6,FALSE),"")</f>
        <v/>
      </c>
      <c r="F650" s="28"/>
      <c r="G650" s="30"/>
      <c r="H650" s="28"/>
      <c r="I650" s="30"/>
      <c r="J650" s="30"/>
      <c r="K650" s="30" t="str">
        <f>IFERROR(VLOOKUP(C650,T_CÓDIGO[#All],3,FALSE),"")</f>
        <v/>
      </c>
      <c r="L650" s="28"/>
      <c r="M650" s="28"/>
      <c r="N650" s="30"/>
    </row>
    <row r="651" spans="1:14" s="2" customFormat="1" ht="15" thickBot="1" x14ac:dyDescent="0.35">
      <c r="A651" s="29"/>
      <c r="B651" s="30">
        <f t="shared" si="10"/>
        <v>1</v>
      </c>
      <c r="C651" s="28"/>
      <c r="D651" s="35" t="str">
        <f>IFERROR(VLOOKUP(C651,T_CÓDIGO[#All],4,FALSE),"")</f>
        <v/>
      </c>
      <c r="E651" s="30" t="str">
        <f>IFERROR(VLOOKUP(C651,T_CÓDIGO[#All],6,FALSE),"")</f>
        <v/>
      </c>
      <c r="F651" s="28"/>
      <c r="G651" s="30"/>
      <c r="H651" s="28"/>
      <c r="I651" s="30"/>
      <c r="J651" s="30"/>
      <c r="K651" s="30" t="str">
        <f>IFERROR(VLOOKUP(C651,T_CÓDIGO[#All],3,FALSE),"")</f>
        <v/>
      </c>
      <c r="L651" s="28"/>
      <c r="M651" s="28"/>
      <c r="N651" s="30"/>
    </row>
    <row r="652" spans="1:14" s="2" customFormat="1" ht="15" thickBot="1" x14ac:dyDescent="0.35">
      <c r="A652" s="29"/>
      <c r="B652" s="30">
        <f t="shared" si="10"/>
        <v>1</v>
      </c>
      <c r="C652" s="28"/>
      <c r="D652" s="35" t="str">
        <f>IFERROR(VLOOKUP(C652,T_CÓDIGO[#All],4,FALSE),"")</f>
        <v/>
      </c>
      <c r="E652" s="30" t="str">
        <f>IFERROR(VLOOKUP(C652,T_CÓDIGO[#All],6,FALSE),"")</f>
        <v/>
      </c>
      <c r="F652" s="28"/>
      <c r="G652" s="30"/>
      <c r="H652" s="28"/>
      <c r="I652" s="30"/>
      <c r="J652" s="30"/>
      <c r="K652" s="30" t="str">
        <f>IFERROR(VLOOKUP(C652,T_CÓDIGO[#All],3,FALSE),"")</f>
        <v/>
      </c>
      <c r="L652" s="28"/>
      <c r="M652" s="28"/>
      <c r="N652" s="30"/>
    </row>
    <row r="653" spans="1:14" s="2" customFormat="1" ht="15" thickBot="1" x14ac:dyDescent="0.35">
      <c r="A653" s="29"/>
      <c r="B653" s="30">
        <f t="shared" si="10"/>
        <v>1</v>
      </c>
      <c r="C653" s="28"/>
      <c r="D653" s="35" t="str">
        <f>IFERROR(VLOOKUP(C653,T_CÓDIGO[#All],4,FALSE),"")</f>
        <v/>
      </c>
      <c r="E653" s="30" t="str">
        <f>IFERROR(VLOOKUP(C653,T_CÓDIGO[#All],6,FALSE),"")</f>
        <v/>
      </c>
      <c r="F653" s="28"/>
      <c r="G653" s="30"/>
      <c r="H653" s="28"/>
      <c r="I653" s="30"/>
      <c r="J653" s="30"/>
      <c r="K653" s="30" t="str">
        <f>IFERROR(VLOOKUP(C653,T_CÓDIGO[#All],3,FALSE),"")</f>
        <v/>
      </c>
      <c r="L653" s="28"/>
      <c r="M653" s="28"/>
      <c r="N653" s="30"/>
    </row>
    <row r="654" spans="1:14" s="2" customFormat="1" ht="15" thickBot="1" x14ac:dyDescent="0.35">
      <c r="A654" s="29"/>
      <c r="B654" s="30">
        <f t="shared" si="10"/>
        <v>1</v>
      </c>
      <c r="C654" s="28"/>
      <c r="D654" s="35" t="str">
        <f>IFERROR(VLOOKUP(C654,T_CÓDIGO[#All],4,FALSE),"")</f>
        <v/>
      </c>
      <c r="E654" s="30" t="str">
        <f>IFERROR(VLOOKUP(C654,T_CÓDIGO[#All],6,FALSE),"")</f>
        <v/>
      </c>
      <c r="F654" s="28"/>
      <c r="G654" s="30"/>
      <c r="H654" s="28"/>
      <c r="I654" s="30"/>
      <c r="J654" s="30"/>
      <c r="K654" s="30" t="str">
        <f>IFERROR(VLOOKUP(C654,T_CÓDIGO[#All],3,FALSE),"")</f>
        <v/>
      </c>
      <c r="L654" s="28"/>
      <c r="M654" s="28"/>
      <c r="N654" s="30"/>
    </row>
    <row r="655" spans="1:14" s="2" customFormat="1" ht="15" thickBot="1" x14ac:dyDescent="0.35">
      <c r="A655" s="29"/>
      <c r="B655" s="30">
        <f t="shared" si="10"/>
        <v>1</v>
      </c>
      <c r="C655" s="28"/>
      <c r="D655" s="35" t="str">
        <f>IFERROR(VLOOKUP(C655,T_CÓDIGO[#All],4,FALSE),"")</f>
        <v/>
      </c>
      <c r="E655" s="30" t="str">
        <f>IFERROR(VLOOKUP(C655,T_CÓDIGO[#All],6,FALSE),"")</f>
        <v/>
      </c>
      <c r="F655" s="28"/>
      <c r="G655" s="30"/>
      <c r="H655" s="28"/>
      <c r="I655" s="30"/>
      <c r="J655" s="30"/>
      <c r="K655" s="30" t="str">
        <f>IFERROR(VLOOKUP(C655,T_CÓDIGO[#All],3,FALSE),"")</f>
        <v/>
      </c>
      <c r="L655" s="28"/>
      <c r="M655" s="28"/>
      <c r="N655" s="30"/>
    </row>
    <row r="656" spans="1:14" s="2" customFormat="1" ht="15" thickBot="1" x14ac:dyDescent="0.35">
      <c r="A656" s="29"/>
      <c r="B656" s="30">
        <f t="shared" si="10"/>
        <v>1</v>
      </c>
      <c r="C656" s="28"/>
      <c r="D656" s="35" t="str">
        <f>IFERROR(VLOOKUP(C656,T_CÓDIGO[#All],4,FALSE),"")</f>
        <v/>
      </c>
      <c r="E656" s="30" t="str">
        <f>IFERROR(VLOOKUP(C656,T_CÓDIGO[#All],6,FALSE),"")</f>
        <v/>
      </c>
      <c r="F656" s="28"/>
      <c r="G656" s="30"/>
      <c r="H656" s="28"/>
      <c r="I656" s="30"/>
      <c r="J656" s="30"/>
      <c r="K656" s="30" t="str">
        <f>IFERROR(VLOOKUP(C656,T_CÓDIGO[#All],3,FALSE),"")</f>
        <v/>
      </c>
      <c r="L656" s="28"/>
      <c r="M656" s="28"/>
      <c r="N656" s="30"/>
    </row>
    <row r="657" spans="1:14" s="2" customFormat="1" ht="15" thickBot="1" x14ac:dyDescent="0.35">
      <c r="A657" s="29"/>
      <c r="B657" s="30">
        <f t="shared" si="10"/>
        <v>1</v>
      </c>
      <c r="C657" s="28"/>
      <c r="D657" s="35" t="str">
        <f>IFERROR(VLOOKUP(C657,T_CÓDIGO[#All],4,FALSE),"")</f>
        <v/>
      </c>
      <c r="E657" s="30" t="str">
        <f>IFERROR(VLOOKUP(C657,T_CÓDIGO[#All],6,FALSE),"")</f>
        <v/>
      </c>
      <c r="F657" s="28"/>
      <c r="G657" s="30"/>
      <c r="H657" s="28"/>
      <c r="I657" s="30"/>
      <c r="J657" s="30"/>
      <c r="K657" s="30" t="str">
        <f>IFERROR(VLOOKUP(C657,T_CÓDIGO[#All],3,FALSE),"")</f>
        <v/>
      </c>
      <c r="L657" s="28"/>
      <c r="M657" s="28"/>
      <c r="N657" s="30"/>
    </row>
    <row r="658" spans="1:14" s="2" customFormat="1" ht="15" thickBot="1" x14ac:dyDescent="0.35">
      <c r="A658" s="29"/>
      <c r="B658" s="30">
        <f t="shared" si="10"/>
        <v>1</v>
      </c>
      <c r="C658" s="28"/>
      <c r="D658" s="35" t="str">
        <f>IFERROR(VLOOKUP(C658,T_CÓDIGO[#All],4,FALSE),"")</f>
        <v/>
      </c>
      <c r="E658" s="30" t="str">
        <f>IFERROR(VLOOKUP(C658,T_CÓDIGO[#All],6,FALSE),"")</f>
        <v/>
      </c>
      <c r="F658" s="28"/>
      <c r="G658" s="30"/>
      <c r="H658" s="28"/>
      <c r="I658" s="30"/>
      <c r="J658" s="30"/>
      <c r="K658" s="30" t="str">
        <f>IFERROR(VLOOKUP(C658,T_CÓDIGO[#All],3,FALSE),"")</f>
        <v/>
      </c>
      <c r="L658" s="28"/>
      <c r="M658" s="28"/>
      <c r="N658" s="30"/>
    </row>
    <row r="659" spans="1:14" s="2" customFormat="1" ht="15" thickBot="1" x14ac:dyDescent="0.35">
      <c r="A659" s="29"/>
      <c r="B659" s="30">
        <f t="shared" si="10"/>
        <v>1</v>
      </c>
      <c r="C659" s="28"/>
      <c r="D659" s="35" t="str">
        <f>IFERROR(VLOOKUP(C659,T_CÓDIGO[#All],4,FALSE),"")</f>
        <v/>
      </c>
      <c r="E659" s="30" t="str">
        <f>IFERROR(VLOOKUP(C659,T_CÓDIGO[#All],6,FALSE),"")</f>
        <v/>
      </c>
      <c r="F659" s="28"/>
      <c r="G659" s="30"/>
      <c r="H659" s="28"/>
      <c r="I659" s="30"/>
      <c r="J659" s="30"/>
      <c r="K659" s="30" t="str">
        <f>IFERROR(VLOOKUP(C659,T_CÓDIGO[#All],3,FALSE),"")</f>
        <v/>
      </c>
      <c r="L659" s="28"/>
      <c r="M659" s="28"/>
      <c r="N659" s="30"/>
    </row>
    <row r="660" spans="1:14" s="2" customFormat="1" ht="15" thickBot="1" x14ac:dyDescent="0.35">
      <c r="A660" s="29"/>
      <c r="B660" s="30">
        <f t="shared" si="10"/>
        <v>1</v>
      </c>
      <c r="C660" s="28"/>
      <c r="D660" s="35" t="str">
        <f>IFERROR(VLOOKUP(C660,T_CÓDIGO[#All],4,FALSE),"")</f>
        <v/>
      </c>
      <c r="E660" s="30" t="str">
        <f>IFERROR(VLOOKUP(C660,T_CÓDIGO[#All],6,FALSE),"")</f>
        <v/>
      </c>
      <c r="F660" s="28"/>
      <c r="G660" s="30"/>
      <c r="H660" s="28"/>
      <c r="I660" s="30"/>
      <c r="J660" s="30"/>
      <c r="K660" s="30" t="str">
        <f>IFERROR(VLOOKUP(C660,T_CÓDIGO[#All],3,FALSE),"")</f>
        <v/>
      </c>
      <c r="L660" s="28"/>
      <c r="M660" s="28"/>
      <c r="N660" s="30"/>
    </row>
    <row r="661" spans="1:14" s="2" customFormat="1" ht="15" thickBot="1" x14ac:dyDescent="0.35">
      <c r="A661" s="29"/>
      <c r="B661" s="30">
        <f t="shared" si="10"/>
        <v>1</v>
      </c>
      <c r="C661" s="28"/>
      <c r="D661" s="35" t="str">
        <f>IFERROR(VLOOKUP(C661,T_CÓDIGO[#All],4,FALSE),"")</f>
        <v/>
      </c>
      <c r="E661" s="30" t="str">
        <f>IFERROR(VLOOKUP(C661,T_CÓDIGO[#All],6,FALSE),"")</f>
        <v/>
      </c>
      <c r="F661" s="28"/>
      <c r="G661" s="30"/>
      <c r="H661" s="28"/>
      <c r="I661" s="30"/>
      <c r="J661" s="30"/>
      <c r="K661" s="30" t="str">
        <f>IFERROR(VLOOKUP(C661,T_CÓDIGO[#All],3,FALSE),"")</f>
        <v/>
      </c>
      <c r="L661" s="28"/>
      <c r="M661" s="28"/>
      <c r="N661" s="30"/>
    </row>
    <row r="662" spans="1:14" s="2" customFormat="1" ht="15" thickBot="1" x14ac:dyDescent="0.35">
      <c r="A662" s="29"/>
      <c r="B662" s="30">
        <f t="shared" si="10"/>
        <v>1</v>
      </c>
      <c r="C662" s="28"/>
      <c r="D662" s="35" t="str">
        <f>IFERROR(VLOOKUP(C662,T_CÓDIGO[#All],4,FALSE),"")</f>
        <v/>
      </c>
      <c r="E662" s="30" t="str">
        <f>IFERROR(VLOOKUP(C662,T_CÓDIGO[#All],6,FALSE),"")</f>
        <v/>
      </c>
      <c r="F662" s="28"/>
      <c r="G662" s="30"/>
      <c r="H662" s="28"/>
      <c r="I662" s="30"/>
      <c r="J662" s="30"/>
      <c r="K662" s="30" t="str">
        <f>IFERROR(VLOOKUP(C662,T_CÓDIGO[#All],3,FALSE),"")</f>
        <v/>
      </c>
      <c r="L662" s="28"/>
      <c r="M662" s="28"/>
      <c r="N662" s="30"/>
    </row>
    <row r="663" spans="1:14" s="2" customFormat="1" ht="15" thickBot="1" x14ac:dyDescent="0.35">
      <c r="A663" s="29"/>
      <c r="B663" s="30">
        <f t="shared" si="10"/>
        <v>1</v>
      </c>
      <c r="C663" s="28"/>
      <c r="D663" s="35" t="str">
        <f>IFERROR(VLOOKUP(C663,T_CÓDIGO[#All],4,FALSE),"")</f>
        <v/>
      </c>
      <c r="E663" s="30" t="str">
        <f>IFERROR(VLOOKUP(C663,T_CÓDIGO[#All],6,FALSE),"")</f>
        <v/>
      </c>
      <c r="F663" s="28"/>
      <c r="G663" s="30"/>
      <c r="H663" s="28"/>
      <c r="I663" s="30"/>
      <c r="J663" s="30"/>
      <c r="K663" s="30" t="str">
        <f>IFERROR(VLOOKUP(C663,T_CÓDIGO[#All],3,FALSE),"")</f>
        <v/>
      </c>
      <c r="L663" s="28"/>
      <c r="M663" s="28"/>
      <c r="N663" s="30"/>
    </row>
    <row r="664" spans="1:14" s="2" customFormat="1" ht="15" thickBot="1" x14ac:dyDescent="0.35">
      <c r="A664" s="29"/>
      <c r="B664" s="30">
        <f t="shared" si="10"/>
        <v>1</v>
      </c>
      <c r="C664" s="28"/>
      <c r="D664" s="35" t="str">
        <f>IFERROR(VLOOKUP(C664,T_CÓDIGO[#All],4,FALSE),"")</f>
        <v/>
      </c>
      <c r="E664" s="30" t="str">
        <f>IFERROR(VLOOKUP(C664,T_CÓDIGO[#All],6,FALSE),"")</f>
        <v/>
      </c>
      <c r="F664" s="28"/>
      <c r="G664" s="30"/>
      <c r="H664" s="28"/>
      <c r="I664" s="30"/>
      <c r="J664" s="30"/>
      <c r="K664" s="30" t="str">
        <f>IFERROR(VLOOKUP(C664,T_CÓDIGO[#All],3,FALSE),"")</f>
        <v/>
      </c>
      <c r="L664" s="28"/>
      <c r="M664" s="28"/>
      <c r="N664" s="30"/>
    </row>
    <row r="665" spans="1:14" s="2" customFormat="1" ht="15" thickBot="1" x14ac:dyDescent="0.35">
      <c r="A665" s="29"/>
      <c r="B665" s="30">
        <f t="shared" si="10"/>
        <v>1</v>
      </c>
      <c r="C665" s="28"/>
      <c r="D665" s="35" t="str">
        <f>IFERROR(VLOOKUP(C665,T_CÓDIGO[#All],4,FALSE),"")</f>
        <v/>
      </c>
      <c r="E665" s="30" t="str">
        <f>IFERROR(VLOOKUP(C665,T_CÓDIGO[#All],6,FALSE),"")</f>
        <v/>
      </c>
      <c r="F665" s="28"/>
      <c r="G665" s="30"/>
      <c r="H665" s="28"/>
      <c r="I665" s="30"/>
      <c r="J665" s="30"/>
      <c r="K665" s="30" t="str">
        <f>IFERROR(VLOOKUP(C665,T_CÓDIGO[#All],3,FALSE),"")</f>
        <v/>
      </c>
      <c r="L665" s="28"/>
      <c r="M665" s="28"/>
      <c r="N665" s="30"/>
    </row>
    <row r="666" spans="1:14" s="2" customFormat="1" ht="15" thickBot="1" x14ac:dyDescent="0.35">
      <c r="A666" s="29"/>
      <c r="B666" s="30">
        <f t="shared" si="10"/>
        <v>1</v>
      </c>
      <c r="C666" s="28"/>
      <c r="D666" s="35" t="str">
        <f>IFERROR(VLOOKUP(C666,T_CÓDIGO[#All],4,FALSE),"")</f>
        <v/>
      </c>
      <c r="E666" s="30" t="str">
        <f>IFERROR(VLOOKUP(C666,T_CÓDIGO[#All],6,FALSE),"")</f>
        <v/>
      </c>
      <c r="F666" s="28"/>
      <c r="G666" s="30"/>
      <c r="H666" s="28"/>
      <c r="I666" s="30"/>
      <c r="J666" s="30"/>
      <c r="K666" s="30" t="str">
        <f>IFERROR(VLOOKUP(C666,T_CÓDIGO[#All],3,FALSE),"")</f>
        <v/>
      </c>
      <c r="L666" s="28"/>
      <c r="M666" s="28"/>
      <c r="N666" s="30"/>
    </row>
    <row r="667" spans="1:14" s="2" customFormat="1" ht="15" thickBot="1" x14ac:dyDescent="0.35">
      <c r="A667" s="29"/>
      <c r="B667" s="30">
        <f t="shared" si="10"/>
        <v>1</v>
      </c>
      <c r="C667" s="28"/>
      <c r="D667" s="35" t="str">
        <f>IFERROR(VLOOKUP(C667,T_CÓDIGO[#All],4,FALSE),"")</f>
        <v/>
      </c>
      <c r="E667" s="30" t="str">
        <f>IFERROR(VLOOKUP(C667,T_CÓDIGO[#All],6,FALSE),"")</f>
        <v/>
      </c>
      <c r="F667" s="28"/>
      <c r="G667" s="30"/>
      <c r="H667" s="28"/>
      <c r="I667" s="30"/>
      <c r="J667" s="30"/>
      <c r="K667" s="30" t="str">
        <f>IFERROR(VLOOKUP(C667,T_CÓDIGO[#All],3,FALSE),"")</f>
        <v/>
      </c>
      <c r="L667" s="28"/>
      <c r="M667" s="28"/>
      <c r="N667" s="30"/>
    </row>
    <row r="668" spans="1:14" s="2" customFormat="1" ht="15" thickBot="1" x14ac:dyDescent="0.35">
      <c r="A668" s="29"/>
      <c r="B668" s="30">
        <f t="shared" si="10"/>
        <v>1</v>
      </c>
      <c r="C668" s="28"/>
      <c r="D668" s="35" t="str">
        <f>IFERROR(VLOOKUP(C668,T_CÓDIGO[#All],4,FALSE),"")</f>
        <v/>
      </c>
      <c r="E668" s="30" t="str">
        <f>IFERROR(VLOOKUP(C668,T_CÓDIGO[#All],6,FALSE),"")</f>
        <v/>
      </c>
      <c r="F668" s="28"/>
      <c r="G668" s="30"/>
      <c r="H668" s="28"/>
      <c r="I668" s="30"/>
      <c r="J668" s="30"/>
      <c r="K668" s="30" t="str">
        <f>IFERROR(VLOOKUP(C668,T_CÓDIGO[#All],3,FALSE),"")</f>
        <v/>
      </c>
      <c r="L668" s="28"/>
      <c r="M668" s="28"/>
      <c r="N668" s="30"/>
    </row>
    <row r="669" spans="1:14" s="2" customFormat="1" ht="15" thickBot="1" x14ac:dyDescent="0.35">
      <c r="A669" s="29"/>
      <c r="B669" s="30">
        <f t="shared" si="10"/>
        <v>1</v>
      </c>
      <c r="C669" s="28"/>
      <c r="D669" s="35" t="str">
        <f>IFERROR(VLOOKUP(C669,T_CÓDIGO[#All],4,FALSE),"")</f>
        <v/>
      </c>
      <c r="E669" s="30" t="str">
        <f>IFERROR(VLOOKUP(C669,T_CÓDIGO[#All],6,FALSE),"")</f>
        <v/>
      </c>
      <c r="F669" s="28"/>
      <c r="G669" s="30"/>
      <c r="H669" s="28"/>
      <c r="I669" s="30"/>
      <c r="J669" s="30"/>
      <c r="K669" s="30" t="str">
        <f>IFERROR(VLOOKUP(C669,T_CÓDIGO[#All],3,FALSE),"")</f>
        <v/>
      </c>
      <c r="L669" s="28"/>
      <c r="M669" s="28"/>
      <c r="N669" s="30"/>
    </row>
    <row r="670" spans="1:14" s="2" customFormat="1" ht="15" thickBot="1" x14ac:dyDescent="0.35">
      <c r="A670" s="29"/>
      <c r="B670" s="30">
        <f t="shared" si="10"/>
        <v>1</v>
      </c>
      <c r="C670" s="28"/>
      <c r="D670" s="35" t="str">
        <f>IFERROR(VLOOKUP(C670,T_CÓDIGO[#All],4,FALSE),"")</f>
        <v/>
      </c>
      <c r="E670" s="30" t="str">
        <f>IFERROR(VLOOKUP(C670,T_CÓDIGO[#All],6,FALSE),"")</f>
        <v/>
      </c>
      <c r="F670" s="28"/>
      <c r="G670" s="30"/>
      <c r="H670" s="28"/>
      <c r="I670" s="30"/>
      <c r="J670" s="30"/>
      <c r="K670" s="30" t="str">
        <f>IFERROR(VLOOKUP(C670,T_CÓDIGO[#All],3,FALSE),"")</f>
        <v/>
      </c>
      <c r="L670" s="28"/>
      <c r="M670" s="28"/>
      <c r="N670" s="30"/>
    </row>
    <row r="671" spans="1:14" s="2" customFormat="1" ht="15" thickBot="1" x14ac:dyDescent="0.35">
      <c r="A671" s="29"/>
      <c r="B671" s="30">
        <f t="shared" si="10"/>
        <v>1</v>
      </c>
      <c r="C671" s="28"/>
      <c r="D671" s="35" t="str">
        <f>IFERROR(VLOOKUP(C671,T_CÓDIGO[#All],4,FALSE),"")</f>
        <v/>
      </c>
      <c r="E671" s="30" t="str">
        <f>IFERROR(VLOOKUP(C671,T_CÓDIGO[#All],6,FALSE),"")</f>
        <v/>
      </c>
      <c r="F671" s="28"/>
      <c r="G671" s="30"/>
      <c r="H671" s="28"/>
      <c r="I671" s="30"/>
      <c r="J671" s="30"/>
      <c r="K671" s="30" t="str">
        <f>IFERROR(VLOOKUP(C671,T_CÓDIGO[#All],3,FALSE),"")</f>
        <v/>
      </c>
      <c r="L671" s="28"/>
      <c r="M671" s="28"/>
      <c r="N671" s="30"/>
    </row>
    <row r="672" spans="1:14" s="2" customFormat="1" ht="15" thickBot="1" x14ac:dyDescent="0.35">
      <c r="A672" s="29"/>
      <c r="B672" s="30">
        <f t="shared" si="10"/>
        <v>1</v>
      </c>
      <c r="C672" s="28"/>
      <c r="D672" s="35" t="str">
        <f>IFERROR(VLOOKUP(C672,T_CÓDIGO[#All],4,FALSE),"")</f>
        <v/>
      </c>
      <c r="E672" s="30" t="str">
        <f>IFERROR(VLOOKUP(C672,T_CÓDIGO[#All],6,FALSE),"")</f>
        <v/>
      </c>
      <c r="F672" s="28"/>
      <c r="G672" s="30"/>
      <c r="H672" s="28"/>
      <c r="I672" s="30"/>
      <c r="J672" s="30"/>
      <c r="K672" s="30" t="str">
        <f>IFERROR(VLOOKUP(C672,T_CÓDIGO[#All],3,FALSE),"")</f>
        <v/>
      </c>
      <c r="L672" s="28"/>
      <c r="M672" s="28"/>
      <c r="N672" s="30"/>
    </row>
    <row r="673" spans="1:14" s="2" customFormat="1" ht="15" thickBot="1" x14ac:dyDescent="0.35">
      <c r="A673" s="29"/>
      <c r="B673" s="30">
        <f t="shared" si="10"/>
        <v>1</v>
      </c>
      <c r="C673" s="28"/>
      <c r="D673" s="35" t="str">
        <f>IFERROR(VLOOKUP(C673,T_CÓDIGO[#All],4,FALSE),"")</f>
        <v/>
      </c>
      <c r="E673" s="30" t="str">
        <f>IFERROR(VLOOKUP(C673,T_CÓDIGO[#All],6,FALSE),"")</f>
        <v/>
      </c>
      <c r="F673" s="28"/>
      <c r="G673" s="30"/>
      <c r="H673" s="28"/>
      <c r="I673" s="30"/>
      <c r="J673" s="30"/>
      <c r="K673" s="30" t="str">
        <f>IFERROR(VLOOKUP(C673,T_CÓDIGO[#All],3,FALSE),"")</f>
        <v/>
      </c>
      <c r="L673" s="28"/>
      <c r="M673" s="28"/>
      <c r="N673" s="30"/>
    </row>
    <row r="674" spans="1:14" s="2" customFormat="1" ht="15" thickBot="1" x14ac:dyDescent="0.35">
      <c r="A674" s="29"/>
      <c r="B674" s="30">
        <f t="shared" si="10"/>
        <v>1</v>
      </c>
      <c r="C674" s="28"/>
      <c r="D674" s="35" t="str">
        <f>IFERROR(VLOOKUP(C674,T_CÓDIGO[#All],4,FALSE),"")</f>
        <v/>
      </c>
      <c r="E674" s="30" t="str">
        <f>IFERROR(VLOOKUP(C674,T_CÓDIGO[#All],6,FALSE),"")</f>
        <v/>
      </c>
      <c r="F674" s="28"/>
      <c r="G674" s="30"/>
      <c r="H674" s="28"/>
      <c r="I674" s="30"/>
      <c r="J674" s="30"/>
      <c r="K674" s="30" t="str">
        <f>IFERROR(VLOOKUP(C674,T_CÓDIGO[#All],3,FALSE),"")</f>
        <v/>
      </c>
      <c r="L674" s="28"/>
      <c r="M674" s="28"/>
      <c r="N674" s="30"/>
    </row>
    <row r="675" spans="1:14" s="2" customFormat="1" ht="15" thickBot="1" x14ac:dyDescent="0.35">
      <c r="A675" s="29"/>
      <c r="B675" s="30">
        <f t="shared" si="10"/>
        <v>1</v>
      </c>
      <c r="C675" s="28"/>
      <c r="D675" s="35" t="str">
        <f>IFERROR(VLOOKUP(C675,T_CÓDIGO[#All],4,FALSE),"")</f>
        <v/>
      </c>
      <c r="E675" s="30" t="str">
        <f>IFERROR(VLOOKUP(C675,T_CÓDIGO[#All],6,FALSE),"")</f>
        <v/>
      </c>
      <c r="F675" s="28"/>
      <c r="G675" s="30"/>
      <c r="H675" s="28"/>
      <c r="I675" s="30"/>
      <c r="J675" s="30"/>
      <c r="K675" s="30" t="str">
        <f>IFERROR(VLOOKUP(C675,T_CÓDIGO[#All],3,FALSE),"")</f>
        <v/>
      </c>
      <c r="L675" s="28"/>
      <c r="M675" s="28"/>
      <c r="N675" s="30"/>
    </row>
    <row r="676" spans="1:14" s="2" customFormat="1" ht="15" thickBot="1" x14ac:dyDescent="0.35">
      <c r="A676" s="29"/>
      <c r="B676" s="30">
        <f t="shared" si="10"/>
        <v>1</v>
      </c>
      <c r="C676" s="28"/>
      <c r="D676" s="35" t="str">
        <f>IFERROR(VLOOKUP(C676,T_CÓDIGO[#All],4,FALSE),"")</f>
        <v/>
      </c>
      <c r="E676" s="30" t="str">
        <f>IFERROR(VLOOKUP(C676,T_CÓDIGO[#All],6,FALSE),"")</f>
        <v/>
      </c>
      <c r="F676" s="28"/>
      <c r="G676" s="30"/>
      <c r="H676" s="28"/>
      <c r="I676" s="30"/>
      <c r="J676" s="30"/>
      <c r="K676" s="30" t="str">
        <f>IFERROR(VLOOKUP(C676,T_CÓDIGO[#All],3,FALSE),"")</f>
        <v/>
      </c>
      <c r="L676" s="28"/>
      <c r="M676" s="28"/>
      <c r="N676" s="30"/>
    </row>
    <row r="677" spans="1:14" s="2" customFormat="1" ht="15" thickBot="1" x14ac:dyDescent="0.35">
      <c r="A677" s="29"/>
      <c r="B677" s="30">
        <f t="shared" si="10"/>
        <v>1</v>
      </c>
      <c r="C677" s="28"/>
      <c r="D677" s="35" t="str">
        <f>IFERROR(VLOOKUP(C677,T_CÓDIGO[#All],4,FALSE),"")</f>
        <v/>
      </c>
      <c r="E677" s="30" t="str">
        <f>IFERROR(VLOOKUP(C677,T_CÓDIGO[#All],6,FALSE),"")</f>
        <v/>
      </c>
      <c r="F677" s="28"/>
      <c r="G677" s="30"/>
      <c r="H677" s="28"/>
      <c r="I677" s="30"/>
      <c r="J677" s="30"/>
      <c r="K677" s="30" t="str">
        <f>IFERROR(VLOOKUP(C677,T_CÓDIGO[#All],3,FALSE),"")</f>
        <v/>
      </c>
      <c r="L677" s="28"/>
      <c r="M677" s="28"/>
      <c r="N677" s="30"/>
    </row>
    <row r="678" spans="1:14" s="2" customFormat="1" ht="15" thickBot="1" x14ac:dyDescent="0.35">
      <c r="A678" s="29"/>
      <c r="B678" s="30">
        <f t="shared" si="10"/>
        <v>1</v>
      </c>
      <c r="C678" s="28"/>
      <c r="D678" s="35" t="str">
        <f>IFERROR(VLOOKUP(C678,T_CÓDIGO[#All],4,FALSE),"")</f>
        <v/>
      </c>
      <c r="E678" s="30" t="str">
        <f>IFERROR(VLOOKUP(C678,T_CÓDIGO[#All],6,FALSE),"")</f>
        <v/>
      </c>
      <c r="F678" s="28"/>
      <c r="G678" s="30"/>
      <c r="H678" s="28"/>
      <c r="I678" s="30"/>
      <c r="J678" s="30"/>
      <c r="K678" s="30" t="str">
        <f>IFERROR(VLOOKUP(C678,T_CÓDIGO[#All],3,FALSE),"")</f>
        <v/>
      </c>
      <c r="L678" s="28"/>
      <c r="M678" s="28"/>
      <c r="N678" s="30"/>
    </row>
    <row r="679" spans="1:14" s="2" customFormat="1" ht="15" thickBot="1" x14ac:dyDescent="0.35">
      <c r="A679" s="29"/>
      <c r="B679" s="30">
        <f t="shared" si="10"/>
        <v>1</v>
      </c>
      <c r="C679" s="28"/>
      <c r="D679" s="35" t="str">
        <f>IFERROR(VLOOKUP(C679,T_CÓDIGO[#All],4,FALSE),"")</f>
        <v/>
      </c>
      <c r="E679" s="30" t="str">
        <f>IFERROR(VLOOKUP(C679,T_CÓDIGO[#All],6,FALSE),"")</f>
        <v/>
      </c>
      <c r="F679" s="28"/>
      <c r="G679" s="30"/>
      <c r="H679" s="28"/>
      <c r="I679" s="30"/>
      <c r="J679" s="30"/>
      <c r="K679" s="30" t="str">
        <f>IFERROR(VLOOKUP(C679,T_CÓDIGO[#All],3,FALSE),"")</f>
        <v/>
      </c>
      <c r="L679" s="28"/>
      <c r="M679" s="28"/>
      <c r="N679" s="30"/>
    </row>
    <row r="680" spans="1:14" s="2" customFormat="1" ht="15" thickBot="1" x14ac:dyDescent="0.35">
      <c r="A680" s="29"/>
      <c r="B680" s="30">
        <f t="shared" si="10"/>
        <v>1</v>
      </c>
      <c r="C680" s="28"/>
      <c r="D680" s="35" t="str">
        <f>IFERROR(VLOOKUP(C680,T_CÓDIGO[#All],4,FALSE),"")</f>
        <v/>
      </c>
      <c r="E680" s="30" t="str">
        <f>IFERROR(VLOOKUP(C680,T_CÓDIGO[#All],6,FALSE),"")</f>
        <v/>
      </c>
      <c r="F680" s="28"/>
      <c r="G680" s="30"/>
      <c r="H680" s="28"/>
      <c r="I680" s="30"/>
      <c r="J680" s="30"/>
      <c r="K680" s="30" t="str">
        <f>IFERROR(VLOOKUP(C680,T_CÓDIGO[#All],3,FALSE),"")</f>
        <v/>
      </c>
      <c r="L680" s="28"/>
      <c r="M680" s="28"/>
      <c r="N680" s="30"/>
    </row>
    <row r="681" spans="1:14" s="2" customFormat="1" ht="15" thickBot="1" x14ac:dyDescent="0.35">
      <c r="A681" s="29"/>
      <c r="B681" s="30">
        <f t="shared" si="10"/>
        <v>1</v>
      </c>
      <c r="C681" s="28"/>
      <c r="D681" s="35" t="str">
        <f>IFERROR(VLOOKUP(C681,T_CÓDIGO[#All],4,FALSE),"")</f>
        <v/>
      </c>
      <c r="E681" s="30" t="str">
        <f>IFERROR(VLOOKUP(C681,T_CÓDIGO[#All],6,FALSE),"")</f>
        <v/>
      </c>
      <c r="F681" s="28"/>
      <c r="G681" s="30"/>
      <c r="H681" s="28"/>
      <c r="I681" s="30"/>
      <c r="J681" s="30"/>
      <c r="K681" s="30" t="str">
        <f>IFERROR(VLOOKUP(C681,T_CÓDIGO[#All],3,FALSE),"")</f>
        <v/>
      </c>
      <c r="L681" s="28"/>
      <c r="M681" s="28"/>
      <c r="N681" s="30"/>
    </row>
    <row r="682" spans="1:14" s="2" customFormat="1" ht="15" thickBot="1" x14ac:dyDescent="0.35">
      <c r="A682" s="29"/>
      <c r="B682" s="30">
        <f t="shared" si="10"/>
        <v>1</v>
      </c>
      <c r="C682" s="28"/>
      <c r="D682" s="35" t="str">
        <f>IFERROR(VLOOKUP(C682,T_CÓDIGO[#All],4,FALSE),"")</f>
        <v/>
      </c>
      <c r="E682" s="30" t="str">
        <f>IFERROR(VLOOKUP(C682,T_CÓDIGO[#All],6,FALSE),"")</f>
        <v/>
      </c>
      <c r="F682" s="28"/>
      <c r="G682" s="30"/>
      <c r="H682" s="28"/>
      <c r="I682" s="30"/>
      <c r="J682" s="30"/>
      <c r="K682" s="30" t="str">
        <f>IFERROR(VLOOKUP(C682,T_CÓDIGO[#All],3,FALSE),"")</f>
        <v/>
      </c>
      <c r="L682" s="28"/>
      <c r="M682" s="28"/>
      <c r="N682" s="30"/>
    </row>
    <row r="683" spans="1:14" s="2" customFormat="1" ht="15" thickBot="1" x14ac:dyDescent="0.35">
      <c r="A683" s="29"/>
      <c r="B683" s="30">
        <f t="shared" si="10"/>
        <v>1</v>
      </c>
      <c r="C683" s="28"/>
      <c r="D683" s="35" t="str">
        <f>IFERROR(VLOOKUP(C683,T_CÓDIGO[#All],4,FALSE),"")</f>
        <v/>
      </c>
      <c r="E683" s="30" t="str">
        <f>IFERROR(VLOOKUP(C683,T_CÓDIGO[#All],6,FALSE),"")</f>
        <v/>
      </c>
      <c r="F683" s="28"/>
      <c r="G683" s="30"/>
      <c r="H683" s="28"/>
      <c r="I683" s="30"/>
      <c r="J683" s="30"/>
      <c r="K683" s="30" t="str">
        <f>IFERROR(VLOOKUP(C683,T_CÓDIGO[#All],3,FALSE),"")</f>
        <v/>
      </c>
      <c r="L683" s="28"/>
      <c r="M683" s="28"/>
      <c r="N683" s="30"/>
    </row>
    <row r="684" spans="1:14" s="2" customFormat="1" ht="15" thickBot="1" x14ac:dyDescent="0.35">
      <c r="A684" s="29"/>
      <c r="B684" s="30">
        <f t="shared" si="10"/>
        <v>1</v>
      </c>
      <c r="C684" s="28"/>
      <c r="D684" s="35" t="str">
        <f>IFERROR(VLOOKUP(C684,T_CÓDIGO[#All],4,FALSE),"")</f>
        <v/>
      </c>
      <c r="E684" s="30" t="str">
        <f>IFERROR(VLOOKUP(C684,T_CÓDIGO[#All],6,FALSE),"")</f>
        <v/>
      </c>
      <c r="F684" s="28"/>
      <c r="G684" s="30"/>
      <c r="H684" s="28"/>
      <c r="I684" s="30"/>
      <c r="J684" s="30"/>
      <c r="K684" s="30" t="str">
        <f>IFERROR(VLOOKUP(C684,T_CÓDIGO[#All],3,FALSE),"")</f>
        <v/>
      </c>
      <c r="L684" s="28"/>
      <c r="M684" s="28"/>
      <c r="N684" s="30"/>
    </row>
    <row r="685" spans="1:14" s="2" customFormat="1" ht="15" thickBot="1" x14ac:dyDescent="0.35">
      <c r="A685" s="29"/>
      <c r="B685" s="30">
        <f t="shared" si="10"/>
        <v>1</v>
      </c>
      <c r="C685" s="28"/>
      <c r="D685" s="35" t="str">
        <f>IFERROR(VLOOKUP(C685,T_CÓDIGO[#All],4,FALSE),"")</f>
        <v/>
      </c>
      <c r="E685" s="30" t="str">
        <f>IFERROR(VLOOKUP(C685,T_CÓDIGO[#All],6,FALSE),"")</f>
        <v/>
      </c>
      <c r="F685" s="28"/>
      <c r="G685" s="30"/>
      <c r="H685" s="28"/>
      <c r="I685" s="30"/>
      <c r="J685" s="30"/>
      <c r="K685" s="30" t="str">
        <f>IFERROR(VLOOKUP(C685,T_CÓDIGO[#All],3,FALSE),"")</f>
        <v/>
      </c>
      <c r="L685" s="28"/>
      <c r="M685" s="28"/>
      <c r="N685" s="30"/>
    </row>
    <row r="686" spans="1:14" s="2" customFormat="1" ht="15" thickBot="1" x14ac:dyDescent="0.35">
      <c r="A686" s="29"/>
      <c r="B686" s="30">
        <f t="shared" si="10"/>
        <v>1</v>
      </c>
      <c r="C686" s="28"/>
      <c r="D686" s="35" t="str">
        <f>IFERROR(VLOOKUP(C686,T_CÓDIGO[#All],4,FALSE),"")</f>
        <v/>
      </c>
      <c r="E686" s="30" t="str">
        <f>IFERROR(VLOOKUP(C686,T_CÓDIGO[#All],6,FALSE),"")</f>
        <v/>
      </c>
      <c r="F686" s="28"/>
      <c r="G686" s="30"/>
      <c r="H686" s="28"/>
      <c r="I686" s="30"/>
      <c r="J686" s="30"/>
      <c r="K686" s="30" t="str">
        <f>IFERROR(VLOOKUP(C686,T_CÓDIGO[#All],3,FALSE),"")</f>
        <v/>
      </c>
      <c r="L686" s="28"/>
      <c r="M686" s="28"/>
      <c r="N686" s="30"/>
    </row>
    <row r="687" spans="1:14" s="2" customFormat="1" ht="15" thickBot="1" x14ac:dyDescent="0.35">
      <c r="A687" s="29"/>
      <c r="B687" s="30">
        <f t="shared" si="10"/>
        <v>1</v>
      </c>
      <c r="C687" s="28"/>
      <c r="D687" s="35" t="str">
        <f>IFERROR(VLOOKUP(C687,T_CÓDIGO[#All],4,FALSE),"")</f>
        <v/>
      </c>
      <c r="E687" s="30" t="str">
        <f>IFERROR(VLOOKUP(C687,T_CÓDIGO[#All],6,FALSE),"")</f>
        <v/>
      </c>
      <c r="F687" s="28"/>
      <c r="G687" s="30"/>
      <c r="H687" s="28"/>
      <c r="I687" s="30"/>
      <c r="J687" s="30"/>
      <c r="K687" s="30" t="str">
        <f>IFERROR(VLOOKUP(C687,T_CÓDIGO[#All],3,FALSE),"")</f>
        <v/>
      </c>
      <c r="L687" s="28"/>
      <c r="M687" s="28"/>
      <c r="N687" s="30"/>
    </row>
    <row r="688" spans="1:14" s="2" customFormat="1" ht="15" thickBot="1" x14ac:dyDescent="0.35">
      <c r="A688" s="29"/>
      <c r="B688" s="30">
        <f t="shared" si="10"/>
        <v>1</v>
      </c>
      <c r="C688" s="28"/>
      <c r="D688" s="35" t="str">
        <f>IFERROR(VLOOKUP(C688,T_CÓDIGO[#All],4,FALSE),"")</f>
        <v/>
      </c>
      <c r="E688" s="30" t="str">
        <f>IFERROR(VLOOKUP(C688,T_CÓDIGO[#All],6,FALSE),"")</f>
        <v/>
      </c>
      <c r="F688" s="28"/>
      <c r="G688" s="30"/>
      <c r="H688" s="28"/>
      <c r="I688" s="30"/>
      <c r="J688" s="30"/>
      <c r="K688" s="30" t="str">
        <f>IFERROR(VLOOKUP(C688,T_CÓDIGO[#All],3,FALSE),"")</f>
        <v/>
      </c>
      <c r="L688" s="28"/>
      <c r="M688" s="28"/>
      <c r="N688" s="30"/>
    </row>
    <row r="689" spans="1:14" s="2" customFormat="1" ht="15" thickBot="1" x14ac:dyDescent="0.35">
      <c r="A689" s="29"/>
      <c r="B689" s="30">
        <f t="shared" si="10"/>
        <v>1</v>
      </c>
      <c r="C689" s="28"/>
      <c r="D689" s="35" t="str">
        <f>IFERROR(VLOOKUP(C689,T_CÓDIGO[#All],4,FALSE),"")</f>
        <v/>
      </c>
      <c r="E689" s="30" t="str">
        <f>IFERROR(VLOOKUP(C689,T_CÓDIGO[#All],6,FALSE),"")</f>
        <v/>
      </c>
      <c r="F689" s="28"/>
      <c r="G689" s="30"/>
      <c r="H689" s="28"/>
      <c r="I689" s="30"/>
      <c r="J689" s="30"/>
      <c r="K689" s="30" t="str">
        <f>IFERROR(VLOOKUP(C689,T_CÓDIGO[#All],3,FALSE),"")</f>
        <v/>
      </c>
      <c r="L689" s="28"/>
      <c r="M689" s="28"/>
      <c r="N689" s="30"/>
    </row>
    <row r="690" spans="1:14" s="2" customFormat="1" ht="15" thickBot="1" x14ac:dyDescent="0.35">
      <c r="A690" s="29"/>
      <c r="B690" s="30">
        <f t="shared" si="10"/>
        <v>1</v>
      </c>
      <c r="C690" s="28"/>
      <c r="D690" s="35" t="str">
        <f>IFERROR(VLOOKUP(C690,T_CÓDIGO[#All],4,FALSE),"")</f>
        <v/>
      </c>
      <c r="E690" s="30" t="str">
        <f>IFERROR(VLOOKUP(C690,T_CÓDIGO[#All],6,FALSE),"")</f>
        <v/>
      </c>
      <c r="F690" s="28"/>
      <c r="G690" s="30"/>
      <c r="H690" s="28"/>
      <c r="I690" s="30"/>
      <c r="J690" s="30"/>
      <c r="K690" s="30" t="str">
        <f>IFERROR(VLOOKUP(C690,T_CÓDIGO[#All],3,FALSE),"")</f>
        <v/>
      </c>
      <c r="L690" s="28"/>
      <c r="M690" s="28"/>
      <c r="N690" s="30"/>
    </row>
    <row r="691" spans="1:14" s="2" customFormat="1" ht="15" thickBot="1" x14ac:dyDescent="0.35">
      <c r="A691" s="29"/>
      <c r="B691" s="30">
        <f t="shared" si="10"/>
        <v>1</v>
      </c>
      <c r="C691" s="28"/>
      <c r="D691" s="35" t="str">
        <f>IFERROR(VLOOKUP(C691,T_CÓDIGO[#All],4,FALSE),"")</f>
        <v/>
      </c>
      <c r="E691" s="30" t="str">
        <f>IFERROR(VLOOKUP(C691,T_CÓDIGO[#All],6,FALSE),"")</f>
        <v/>
      </c>
      <c r="F691" s="28"/>
      <c r="G691" s="30"/>
      <c r="H691" s="28"/>
      <c r="I691" s="30"/>
      <c r="J691" s="30"/>
      <c r="K691" s="30" t="str">
        <f>IFERROR(VLOOKUP(C691,T_CÓDIGO[#All],3,FALSE),"")</f>
        <v/>
      </c>
      <c r="L691" s="28"/>
      <c r="M691" s="28"/>
      <c r="N691" s="30"/>
    </row>
    <row r="692" spans="1:14" s="2" customFormat="1" ht="15" thickBot="1" x14ac:dyDescent="0.35">
      <c r="A692" s="29"/>
      <c r="B692" s="30">
        <f t="shared" si="10"/>
        <v>1</v>
      </c>
      <c r="C692" s="28"/>
      <c r="D692" s="35" t="str">
        <f>IFERROR(VLOOKUP(C692,T_CÓDIGO[#All],4,FALSE),"")</f>
        <v/>
      </c>
      <c r="E692" s="30" t="str">
        <f>IFERROR(VLOOKUP(C692,T_CÓDIGO[#All],6,FALSE),"")</f>
        <v/>
      </c>
      <c r="F692" s="28"/>
      <c r="G692" s="30"/>
      <c r="H692" s="28"/>
      <c r="I692" s="30"/>
      <c r="J692" s="30"/>
      <c r="K692" s="30" t="str">
        <f>IFERROR(VLOOKUP(C692,T_CÓDIGO[#All],3,FALSE),"")</f>
        <v/>
      </c>
      <c r="L692" s="28"/>
      <c r="M692" s="28"/>
      <c r="N692" s="30"/>
    </row>
    <row r="693" spans="1:14" s="2" customFormat="1" ht="15" thickBot="1" x14ac:dyDescent="0.35">
      <c r="A693" s="29"/>
      <c r="B693" s="30">
        <f t="shared" si="10"/>
        <v>1</v>
      </c>
      <c r="C693" s="28"/>
      <c r="D693" s="35" t="str">
        <f>IFERROR(VLOOKUP(C693,T_CÓDIGO[#All],4,FALSE),"")</f>
        <v/>
      </c>
      <c r="E693" s="30" t="str">
        <f>IFERROR(VLOOKUP(C693,T_CÓDIGO[#All],6,FALSE),"")</f>
        <v/>
      </c>
      <c r="F693" s="28"/>
      <c r="G693" s="30"/>
      <c r="H693" s="28"/>
      <c r="I693" s="30"/>
      <c r="J693" s="30"/>
      <c r="K693" s="30" t="str">
        <f>IFERROR(VLOOKUP(C693,T_CÓDIGO[#All],3,FALSE),"")</f>
        <v/>
      </c>
      <c r="L693" s="28"/>
      <c r="M693" s="28"/>
      <c r="N693" s="30"/>
    </row>
    <row r="694" spans="1:14" s="2" customFormat="1" ht="15" thickBot="1" x14ac:dyDescent="0.35">
      <c r="A694" s="29"/>
      <c r="B694" s="30">
        <f t="shared" si="10"/>
        <v>1</v>
      </c>
      <c r="C694" s="28"/>
      <c r="D694" s="35" t="str">
        <f>IFERROR(VLOOKUP(C694,T_CÓDIGO[#All],4,FALSE),"")</f>
        <v/>
      </c>
      <c r="E694" s="30" t="str">
        <f>IFERROR(VLOOKUP(C694,T_CÓDIGO[#All],6,FALSE),"")</f>
        <v/>
      </c>
      <c r="F694" s="28"/>
      <c r="G694" s="30"/>
      <c r="H694" s="28"/>
      <c r="I694" s="30"/>
      <c r="J694" s="30"/>
      <c r="K694" s="30" t="str">
        <f>IFERROR(VLOOKUP(C694,T_CÓDIGO[#All],3,FALSE),"")</f>
        <v/>
      </c>
      <c r="L694" s="28"/>
      <c r="M694" s="28"/>
      <c r="N694" s="30"/>
    </row>
    <row r="695" spans="1:14" s="2" customFormat="1" ht="15" thickBot="1" x14ac:dyDescent="0.35">
      <c r="A695" s="29"/>
      <c r="B695" s="30">
        <f t="shared" si="10"/>
        <v>1</v>
      </c>
      <c r="C695" s="28"/>
      <c r="D695" s="35" t="str">
        <f>IFERROR(VLOOKUP(C695,T_CÓDIGO[#All],4,FALSE),"")</f>
        <v/>
      </c>
      <c r="E695" s="30" t="str">
        <f>IFERROR(VLOOKUP(C695,T_CÓDIGO[#All],6,FALSE),"")</f>
        <v/>
      </c>
      <c r="F695" s="28"/>
      <c r="G695" s="30"/>
      <c r="H695" s="28"/>
      <c r="I695" s="30"/>
      <c r="J695" s="30"/>
      <c r="K695" s="30" t="str">
        <f>IFERROR(VLOOKUP(C695,T_CÓDIGO[#All],3,FALSE),"")</f>
        <v/>
      </c>
      <c r="L695" s="28"/>
      <c r="M695" s="28"/>
      <c r="N695" s="30"/>
    </row>
    <row r="696" spans="1:14" s="2" customFormat="1" ht="15" thickBot="1" x14ac:dyDescent="0.35">
      <c r="A696" s="29"/>
      <c r="B696" s="30">
        <f t="shared" si="10"/>
        <v>1</v>
      </c>
      <c r="C696" s="28"/>
      <c r="D696" s="35" t="str">
        <f>IFERROR(VLOOKUP(C696,T_CÓDIGO[#All],4,FALSE),"")</f>
        <v/>
      </c>
      <c r="E696" s="30" t="str">
        <f>IFERROR(VLOOKUP(C696,T_CÓDIGO[#All],6,FALSE),"")</f>
        <v/>
      </c>
      <c r="F696" s="28"/>
      <c r="G696" s="30"/>
      <c r="H696" s="28"/>
      <c r="I696" s="30"/>
      <c r="J696" s="30"/>
      <c r="K696" s="30" t="str">
        <f>IFERROR(VLOOKUP(C696,T_CÓDIGO[#All],3,FALSE),"")</f>
        <v/>
      </c>
      <c r="L696" s="28"/>
      <c r="M696" s="28"/>
      <c r="N696" s="30"/>
    </row>
    <row r="697" spans="1:14" s="2" customFormat="1" ht="15" thickBot="1" x14ac:dyDescent="0.35">
      <c r="A697" s="29"/>
      <c r="B697" s="30">
        <f t="shared" si="10"/>
        <v>1</v>
      </c>
      <c r="C697" s="28"/>
      <c r="D697" s="35" t="str">
        <f>IFERROR(VLOOKUP(C697,T_CÓDIGO[#All],4,FALSE),"")</f>
        <v/>
      </c>
      <c r="E697" s="30" t="str">
        <f>IFERROR(VLOOKUP(C697,T_CÓDIGO[#All],6,FALSE),"")</f>
        <v/>
      </c>
      <c r="F697" s="28"/>
      <c r="G697" s="30"/>
      <c r="H697" s="28"/>
      <c r="I697" s="30"/>
      <c r="J697" s="30"/>
      <c r="K697" s="30" t="str">
        <f>IFERROR(VLOOKUP(C697,T_CÓDIGO[#All],3,FALSE),"")</f>
        <v/>
      </c>
      <c r="L697" s="28"/>
      <c r="M697" s="28"/>
      <c r="N697" s="30"/>
    </row>
    <row r="698" spans="1:14" s="2" customFormat="1" ht="15" thickBot="1" x14ac:dyDescent="0.35">
      <c r="A698" s="29"/>
      <c r="B698" s="30">
        <f t="shared" si="10"/>
        <v>1</v>
      </c>
      <c r="C698" s="28"/>
      <c r="D698" s="35" t="str">
        <f>IFERROR(VLOOKUP(C698,T_CÓDIGO[#All],4,FALSE),"")</f>
        <v/>
      </c>
      <c r="E698" s="30" t="str">
        <f>IFERROR(VLOOKUP(C698,T_CÓDIGO[#All],6,FALSE),"")</f>
        <v/>
      </c>
      <c r="F698" s="28"/>
      <c r="G698" s="30"/>
      <c r="H698" s="28"/>
      <c r="I698" s="30"/>
      <c r="J698" s="30"/>
      <c r="K698" s="30" t="str">
        <f>IFERROR(VLOOKUP(C698,T_CÓDIGO[#All],3,FALSE),"")</f>
        <v/>
      </c>
      <c r="L698" s="28"/>
      <c r="M698" s="28"/>
      <c r="N698" s="30"/>
    </row>
    <row r="699" spans="1:14" s="2" customFormat="1" ht="15" thickBot="1" x14ac:dyDescent="0.35">
      <c r="A699" s="29"/>
      <c r="B699" s="30">
        <f t="shared" si="10"/>
        <v>1</v>
      </c>
      <c r="C699" s="28"/>
      <c r="D699" s="35" t="str">
        <f>IFERROR(VLOOKUP(C699,T_CÓDIGO[#All],4,FALSE),"")</f>
        <v/>
      </c>
      <c r="E699" s="30" t="str">
        <f>IFERROR(VLOOKUP(C699,T_CÓDIGO[#All],6,FALSE),"")</f>
        <v/>
      </c>
      <c r="F699" s="28"/>
      <c r="G699" s="30"/>
      <c r="H699" s="28"/>
      <c r="I699" s="30"/>
      <c r="J699" s="30"/>
      <c r="K699" s="30" t="str">
        <f>IFERROR(VLOOKUP(C699,T_CÓDIGO[#All],3,FALSE),"")</f>
        <v/>
      </c>
      <c r="L699" s="28"/>
      <c r="M699" s="28"/>
      <c r="N699" s="30"/>
    </row>
    <row r="700" spans="1:14" s="2" customFormat="1" ht="15" thickBot="1" x14ac:dyDescent="0.35">
      <c r="A700" s="29"/>
      <c r="B700" s="30">
        <f t="shared" si="10"/>
        <v>1</v>
      </c>
      <c r="C700" s="28"/>
      <c r="D700" s="35" t="str">
        <f>IFERROR(VLOOKUP(C700,T_CÓDIGO[#All],4,FALSE),"")</f>
        <v/>
      </c>
      <c r="E700" s="30" t="str">
        <f>IFERROR(VLOOKUP(C700,T_CÓDIGO[#All],6,FALSE),"")</f>
        <v/>
      </c>
      <c r="F700" s="28"/>
      <c r="G700" s="30"/>
      <c r="H700" s="28"/>
      <c r="I700" s="30"/>
      <c r="J700" s="30"/>
      <c r="K700" s="30" t="str">
        <f>IFERROR(VLOOKUP(C700,T_CÓDIGO[#All],3,FALSE),"")</f>
        <v/>
      </c>
      <c r="L700" s="28"/>
      <c r="M700" s="28"/>
      <c r="N700" s="30"/>
    </row>
    <row r="701" spans="1:14" s="2" customFormat="1" ht="15" thickBot="1" x14ac:dyDescent="0.35">
      <c r="A701" s="29"/>
      <c r="B701" s="30">
        <f t="shared" si="10"/>
        <v>1</v>
      </c>
      <c r="C701" s="28"/>
      <c r="D701" s="35" t="str">
        <f>IFERROR(VLOOKUP(C701,T_CÓDIGO[#All],4,FALSE),"")</f>
        <v/>
      </c>
      <c r="E701" s="30" t="str">
        <f>IFERROR(VLOOKUP(C701,T_CÓDIGO[#All],6,FALSE),"")</f>
        <v/>
      </c>
      <c r="F701" s="28"/>
      <c r="G701" s="30"/>
      <c r="H701" s="28"/>
      <c r="I701" s="30"/>
      <c r="J701" s="30"/>
      <c r="K701" s="30" t="str">
        <f>IFERROR(VLOOKUP(C701,T_CÓDIGO[#All],3,FALSE),"")</f>
        <v/>
      </c>
      <c r="L701" s="28"/>
      <c r="M701" s="28"/>
      <c r="N701" s="30"/>
    </row>
    <row r="702" spans="1:14" s="2" customFormat="1" ht="15" thickBot="1" x14ac:dyDescent="0.35">
      <c r="A702" s="29"/>
      <c r="B702" s="30">
        <f t="shared" si="10"/>
        <v>1</v>
      </c>
      <c r="C702" s="28"/>
      <c r="D702" s="35" t="str">
        <f>IFERROR(VLOOKUP(C702,T_CÓDIGO[#All],4,FALSE),"")</f>
        <v/>
      </c>
      <c r="E702" s="30" t="str">
        <f>IFERROR(VLOOKUP(C702,T_CÓDIGO[#All],6,FALSE),"")</f>
        <v/>
      </c>
      <c r="F702" s="28"/>
      <c r="G702" s="30"/>
      <c r="H702" s="28"/>
      <c r="I702" s="30"/>
      <c r="J702" s="30"/>
      <c r="K702" s="30" t="str">
        <f>IFERROR(VLOOKUP(C702,T_CÓDIGO[#All],3,FALSE),"")</f>
        <v/>
      </c>
      <c r="L702" s="28"/>
      <c r="M702" s="28"/>
      <c r="N702" s="30"/>
    </row>
    <row r="703" spans="1:14" s="2" customFormat="1" ht="15" thickBot="1" x14ac:dyDescent="0.35">
      <c r="A703" s="29"/>
      <c r="B703" s="30">
        <f t="shared" si="10"/>
        <v>1</v>
      </c>
      <c r="C703" s="28"/>
      <c r="D703" s="35" t="str">
        <f>IFERROR(VLOOKUP(C703,T_CÓDIGO[#All],4,FALSE),"")</f>
        <v/>
      </c>
      <c r="E703" s="30" t="str">
        <f>IFERROR(VLOOKUP(C703,T_CÓDIGO[#All],6,FALSE),"")</f>
        <v/>
      </c>
      <c r="F703" s="28"/>
      <c r="G703" s="30"/>
      <c r="H703" s="28"/>
      <c r="I703" s="30"/>
      <c r="J703" s="30"/>
      <c r="K703" s="30" t="str">
        <f>IFERROR(VLOOKUP(C703,T_CÓDIGO[#All],3,FALSE),"")</f>
        <v/>
      </c>
      <c r="L703" s="28"/>
      <c r="M703" s="28"/>
      <c r="N703" s="30"/>
    </row>
    <row r="704" spans="1:14" s="2" customFormat="1" ht="15" thickBot="1" x14ac:dyDescent="0.35">
      <c r="A704" s="29"/>
      <c r="B704" s="30">
        <f t="shared" si="10"/>
        <v>1</v>
      </c>
      <c r="C704" s="28"/>
      <c r="D704" s="35" t="str">
        <f>IFERROR(VLOOKUP(C704,T_CÓDIGO[#All],4,FALSE),"")</f>
        <v/>
      </c>
      <c r="E704" s="30" t="str">
        <f>IFERROR(VLOOKUP(C704,T_CÓDIGO[#All],6,FALSE),"")</f>
        <v/>
      </c>
      <c r="F704" s="28"/>
      <c r="G704" s="30"/>
      <c r="H704" s="28"/>
      <c r="I704" s="30"/>
      <c r="J704" s="30"/>
      <c r="K704" s="30" t="str">
        <f>IFERROR(VLOOKUP(C704,T_CÓDIGO[#All],3,FALSE),"")</f>
        <v/>
      </c>
      <c r="L704" s="28"/>
      <c r="M704" s="28"/>
      <c r="N704" s="30"/>
    </row>
    <row r="705" spans="1:14" s="2" customFormat="1" ht="15" thickBot="1" x14ac:dyDescent="0.35">
      <c r="A705" s="29"/>
      <c r="B705" s="30">
        <f t="shared" si="10"/>
        <v>1</v>
      </c>
      <c r="C705" s="28"/>
      <c r="D705" s="35" t="str">
        <f>IFERROR(VLOOKUP(C705,T_CÓDIGO[#All],4,FALSE),"")</f>
        <v/>
      </c>
      <c r="E705" s="30" t="str">
        <f>IFERROR(VLOOKUP(C705,T_CÓDIGO[#All],6,FALSE),"")</f>
        <v/>
      </c>
      <c r="F705" s="28"/>
      <c r="G705" s="30"/>
      <c r="H705" s="28"/>
      <c r="I705" s="30"/>
      <c r="J705" s="30"/>
      <c r="K705" s="30" t="str">
        <f>IFERROR(VLOOKUP(C705,T_CÓDIGO[#All],3,FALSE),"")</f>
        <v/>
      </c>
      <c r="L705" s="28"/>
      <c r="M705" s="28"/>
      <c r="N705" s="30"/>
    </row>
    <row r="706" spans="1:14" s="2" customFormat="1" ht="15" thickBot="1" x14ac:dyDescent="0.35">
      <c r="A706" s="29"/>
      <c r="B706" s="30">
        <f t="shared" si="10"/>
        <v>1</v>
      </c>
      <c r="C706" s="28"/>
      <c r="D706" s="35" t="str">
        <f>IFERROR(VLOOKUP(C706,T_CÓDIGO[#All],4,FALSE),"")</f>
        <v/>
      </c>
      <c r="E706" s="30" t="str">
        <f>IFERROR(VLOOKUP(C706,T_CÓDIGO[#All],6,FALSE),"")</f>
        <v/>
      </c>
      <c r="F706" s="28"/>
      <c r="G706" s="30"/>
      <c r="H706" s="28"/>
      <c r="I706" s="30"/>
      <c r="J706" s="30"/>
      <c r="K706" s="30" t="str">
        <f>IFERROR(VLOOKUP(C706,T_CÓDIGO[#All],3,FALSE),"")</f>
        <v/>
      </c>
      <c r="L706" s="28"/>
      <c r="M706" s="28"/>
      <c r="N706" s="30"/>
    </row>
    <row r="707" spans="1:14" s="2" customFormat="1" ht="15" thickBot="1" x14ac:dyDescent="0.35">
      <c r="A707" s="29"/>
      <c r="B707" s="30">
        <f t="shared" si="10"/>
        <v>1</v>
      </c>
      <c r="C707" s="28"/>
      <c r="D707" s="35" t="str">
        <f>IFERROR(VLOOKUP(C707,T_CÓDIGO[#All],4,FALSE),"")</f>
        <v/>
      </c>
      <c r="E707" s="30" t="str">
        <f>IFERROR(VLOOKUP(C707,T_CÓDIGO[#All],6,FALSE),"")</f>
        <v/>
      </c>
      <c r="F707" s="28"/>
      <c r="G707" s="30"/>
      <c r="H707" s="28"/>
      <c r="I707" s="30"/>
      <c r="J707" s="30"/>
      <c r="K707" s="30" t="str">
        <f>IFERROR(VLOOKUP(C707,T_CÓDIGO[#All],3,FALSE),"")</f>
        <v/>
      </c>
      <c r="L707" s="28"/>
      <c r="M707" s="28"/>
      <c r="N707" s="30"/>
    </row>
    <row r="708" spans="1:14" s="2" customFormat="1" ht="15" thickBot="1" x14ac:dyDescent="0.35">
      <c r="A708" s="29"/>
      <c r="B708" s="30">
        <f t="shared" si="10"/>
        <v>1</v>
      </c>
      <c r="C708" s="28"/>
      <c r="D708" s="35" t="str">
        <f>IFERROR(VLOOKUP(C708,T_CÓDIGO[#All],4,FALSE),"")</f>
        <v/>
      </c>
      <c r="E708" s="30" t="str">
        <f>IFERROR(VLOOKUP(C708,T_CÓDIGO[#All],6,FALSE),"")</f>
        <v/>
      </c>
      <c r="F708" s="28"/>
      <c r="G708" s="30"/>
      <c r="H708" s="28"/>
      <c r="I708" s="30"/>
      <c r="J708" s="30"/>
      <c r="K708" s="30" t="str">
        <f>IFERROR(VLOOKUP(C708,T_CÓDIGO[#All],3,FALSE),"")</f>
        <v/>
      </c>
      <c r="L708" s="28"/>
      <c r="M708" s="28"/>
      <c r="N708" s="30"/>
    </row>
    <row r="709" spans="1:14" s="2" customFormat="1" ht="15" thickBot="1" x14ac:dyDescent="0.35">
      <c r="A709" s="29"/>
      <c r="B709" s="30">
        <f t="shared" si="10"/>
        <v>1</v>
      </c>
      <c r="C709" s="28"/>
      <c r="D709" s="35" t="str">
        <f>IFERROR(VLOOKUP(C709,T_CÓDIGO[#All],4,FALSE),"")</f>
        <v/>
      </c>
      <c r="E709" s="30" t="str">
        <f>IFERROR(VLOOKUP(C709,T_CÓDIGO[#All],6,FALSE),"")</f>
        <v/>
      </c>
      <c r="F709" s="28"/>
      <c r="G709" s="30"/>
      <c r="H709" s="28"/>
      <c r="I709" s="30"/>
      <c r="J709" s="30"/>
      <c r="K709" s="30" t="str">
        <f>IFERROR(VLOOKUP(C709,T_CÓDIGO[#All],3,FALSE),"")</f>
        <v/>
      </c>
      <c r="L709" s="28"/>
      <c r="M709" s="28"/>
      <c r="N709" s="30"/>
    </row>
    <row r="710" spans="1:14" s="2" customFormat="1" ht="15" thickBot="1" x14ac:dyDescent="0.35">
      <c r="A710" s="29"/>
      <c r="B710" s="30">
        <f t="shared" si="10"/>
        <v>1</v>
      </c>
      <c r="C710" s="28"/>
      <c r="D710" s="35" t="str">
        <f>IFERROR(VLOOKUP(C710,T_CÓDIGO[#All],4,FALSE),"")</f>
        <v/>
      </c>
      <c r="E710" s="30" t="str">
        <f>IFERROR(VLOOKUP(C710,T_CÓDIGO[#All],6,FALSE),"")</f>
        <v/>
      </c>
      <c r="F710" s="28"/>
      <c r="G710" s="30"/>
      <c r="H710" s="28"/>
      <c r="I710" s="30"/>
      <c r="J710" s="30"/>
      <c r="K710" s="30" t="str">
        <f>IFERROR(VLOOKUP(C710,T_CÓDIGO[#All],3,FALSE),"")</f>
        <v/>
      </c>
      <c r="L710" s="28"/>
      <c r="M710" s="28"/>
      <c r="N710" s="30"/>
    </row>
    <row r="711" spans="1:14" s="2" customFormat="1" ht="15" thickBot="1" x14ac:dyDescent="0.35">
      <c r="A711" s="29"/>
      <c r="B711" s="30">
        <f t="shared" si="10"/>
        <v>1</v>
      </c>
      <c r="C711" s="28"/>
      <c r="D711" s="35" t="str">
        <f>IFERROR(VLOOKUP(C711,T_CÓDIGO[#All],4,FALSE),"")</f>
        <v/>
      </c>
      <c r="E711" s="30" t="str">
        <f>IFERROR(VLOOKUP(C711,T_CÓDIGO[#All],6,FALSE),"")</f>
        <v/>
      </c>
      <c r="F711" s="28"/>
      <c r="G711" s="30"/>
      <c r="H711" s="28"/>
      <c r="I711" s="30"/>
      <c r="J711" s="30"/>
      <c r="K711" s="30" t="str">
        <f>IFERROR(VLOOKUP(C711,T_CÓDIGO[#All],3,FALSE),"")</f>
        <v/>
      </c>
      <c r="L711" s="28"/>
      <c r="M711" s="28"/>
      <c r="N711" s="30"/>
    </row>
    <row r="712" spans="1:14" s="2" customFormat="1" ht="15" thickBot="1" x14ac:dyDescent="0.35">
      <c r="A712" s="29"/>
      <c r="B712" s="30">
        <f t="shared" si="10"/>
        <v>1</v>
      </c>
      <c r="C712" s="28"/>
      <c r="D712" s="35" t="str">
        <f>IFERROR(VLOOKUP(C712,T_CÓDIGO[#All],4,FALSE),"")</f>
        <v/>
      </c>
      <c r="E712" s="30" t="str">
        <f>IFERROR(VLOOKUP(C712,T_CÓDIGO[#All],6,FALSE),"")</f>
        <v/>
      </c>
      <c r="F712" s="28"/>
      <c r="G712" s="30"/>
      <c r="H712" s="28"/>
      <c r="I712" s="30"/>
      <c r="J712" s="30"/>
      <c r="K712" s="30" t="str">
        <f>IFERROR(VLOOKUP(C712,T_CÓDIGO[#All],3,FALSE),"")</f>
        <v/>
      </c>
      <c r="L712" s="28"/>
      <c r="M712" s="28"/>
      <c r="N712" s="30"/>
    </row>
    <row r="713" spans="1:14" s="2" customFormat="1" ht="15" thickBot="1" x14ac:dyDescent="0.35">
      <c r="A713" s="29"/>
      <c r="B713" s="30">
        <f t="shared" si="10"/>
        <v>1</v>
      </c>
      <c r="C713" s="28"/>
      <c r="D713" s="35" t="str">
        <f>IFERROR(VLOOKUP(C713,T_CÓDIGO[#All],4,FALSE),"")</f>
        <v/>
      </c>
      <c r="E713" s="30" t="str">
        <f>IFERROR(VLOOKUP(C713,T_CÓDIGO[#All],6,FALSE),"")</f>
        <v/>
      </c>
      <c r="F713" s="28"/>
      <c r="G713" s="30"/>
      <c r="H713" s="28"/>
      <c r="I713" s="30"/>
      <c r="J713" s="30"/>
      <c r="K713" s="30" t="str">
        <f>IFERROR(VLOOKUP(C713,T_CÓDIGO[#All],3,FALSE),"")</f>
        <v/>
      </c>
      <c r="L713" s="28"/>
      <c r="M713" s="28"/>
      <c r="N713" s="30"/>
    </row>
    <row r="714" spans="1:14" s="2" customFormat="1" ht="15" thickBot="1" x14ac:dyDescent="0.35">
      <c r="A714" s="29"/>
      <c r="B714" s="30">
        <f t="shared" ref="B714:B777" si="11">MONTH(A714)</f>
        <v>1</v>
      </c>
      <c r="C714" s="28"/>
      <c r="D714" s="35" t="str">
        <f>IFERROR(VLOOKUP(C714,T_CÓDIGO[#All],4,FALSE),"")</f>
        <v/>
      </c>
      <c r="E714" s="30" t="str">
        <f>IFERROR(VLOOKUP(C714,T_CÓDIGO[#All],6,FALSE),"")</f>
        <v/>
      </c>
      <c r="F714" s="28"/>
      <c r="G714" s="30"/>
      <c r="H714" s="28"/>
      <c r="I714" s="30"/>
      <c r="J714" s="30"/>
      <c r="K714" s="30" t="str">
        <f>IFERROR(VLOOKUP(C714,T_CÓDIGO[#All],3,FALSE),"")</f>
        <v/>
      </c>
      <c r="L714" s="28"/>
      <c r="M714" s="28"/>
      <c r="N714" s="30"/>
    </row>
    <row r="715" spans="1:14" s="2" customFormat="1" ht="15" thickBot="1" x14ac:dyDescent="0.35">
      <c r="A715" s="29"/>
      <c r="B715" s="30">
        <f t="shared" si="11"/>
        <v>1</v>
      </c>
      <c r="C715" s="28"/>
      <c r="D715" s="35" t="str">
        <f>IFERROR(VLOOKUP(C715,T_CÓDIGO[#All],4,FALSE),"")</f>
        <v/>
      </c>
      <c r="E715" s="30" t="str">
        <f>IFERROR(VLOOKUP(C715,T_CÓDIGO[#All],6,FALSE),"")</f>
        <v/>
      </c>
      <c r="F715" s="28"/>
      <c r="G715" s="30"/>
      <c r="H715" s="28"/>
      <c r="I715" s="30"/>
      <c r="J715" s="30"/>
      <c r="K715" s="30" t="str">
        <f>IFERROR(VLOOKUP(C715,T_CÓDIGO[#All],3,FALSE),"")</f>
        <v/>
      </c>
      <c r="L715" s="28"/>
      <c r="M715" s="28"/>
      <c r="N715" s="30"/>
    </row>
    <row r="716" spans="1:14" s="2" customFormat="1" ht="15" thickBot="1" x14ac:dyDescent="0.35">
      <c r="A716" s="29"/>
      <c r="B716" s="30">
        <f t="shared" si="11"/>
        <v>1</v>
      </c>
      <c r="C716" s="28"/>
      <c r="D716" s="35" t="str">
        <f>IFERROR(VLOOKUP(C716,T_CÓDIGO[#All],4,FALSE),"")</f>
        <v/>
      </c>
      <c r="E716" s="30" t="str">
        <f>IFERROR(VLOOKUP(C716,T_CÓDIGO[#All],6,FALSE),"")</f>
        <v/>
      </c>
      <c r="F716" s="28"/>
      <c r="G716" s="30"/>
      <c r="H716" s="28"/>
      <c r="I716" s="30"/>
      <c r="J716" s="30"/>
      <c r="K716" s="30" t="str">
        <f>IFERROR(VLOOKUP(C716,T_CÓDIGO[#All],3,FALSE),"")</f>
        <v/>
      </c>
      <c r="L716" s="28"/>
      <c r="M716" s="28"/>
      <c r="N716" s="30"/>
    </row>
    <row r="717" spans="1:14" s="2" customFormat="1" ht="15" thickBot="1" x14ac:dyDescent="0.35">
      <c r="A717" s="29"/>
      <c r="B717" s="30">
        <f t="shared" si="11"/>
        <v>1</v>
      </c>
      <c r="C717" s="28"/>
      <c r="D717" s="35" t="str">
        <f>IFERROR(VLOOKUP(C717,T_CÓDIGO[#All],4,FALSE),"")</f>
        <v/>
      </c>
      <c r="E717" s="30" t="str">
        <f>IFERROR(VLOOKUP(C717,T_CÓDIGO[#All],6,FALSE),"")</f>
        <v/>
      </c>
      <c r="F717" s="28"/>
      <c r="G717" s="30"/>
      <c r="H717" s="28"/>
      <c r="I717" s="30"/>
      <c r="J717" s="30"/>
      <c r="K717" s="30" t="str">
        <f>IFERROR(VLOOKUP(C717,T_CÓDIGO[#All],3,FALSE),"")</f>
        <v/>
      </c>
      <c r="L717" s="28"/>
      <c r="M717" s="28"/>
      <c r="N717" s="30"/>
    </row>
    <row r="718" spans="1:14" s="2" customFormat="1" ht="15" thickBot="1" x14ac:dyDescent="0.35">
      <c r="A718" s="29"/>
      <c r="B718" s="30">
        <f t="shared" si="11"/>
        <v>1</v>
      </c>
      <c r="C718" s="28"/>
      <c r="D718" s="35" t="str">
        <f>IFERROR(VLOOKUP(C718,T_CÓDIGO[#All],4,FALSE),"")</f>
        <v/>
      </c>
      <c r="E718" s="30" t="str">
        <f>IFERROR(VLOOKUP(C718,T_CÓDIGO[#All],6,FALSE),"")</f>
        <v/>
      </c>
      <c r="F718" s="28"/>
      <c r="G718" s="30"/>
      <c r="H718" s="28"/>
      <c r="I718" s="30"/>
      <c r="J718" s="30"/>
      <c r="K718" s="30" t="str">
        <f>IFERROR(VLOOKUP(C718,T_CÓDIGO[#All],3,FALSE),"")</f>
        <v/>
      </c>
      <c r="L718" s="28"/>
      <c r="M718" s="28"/>
      <c r="N718" s="30"/>
    </row>
    <row r="719" spans="1:14" s="2" customFormat="1" ht="15" thickBot="1" x14ac:dyDescent="0.35">
      <c r="A719" s="29"/>
      <c r="B719" s="30">
        <f t="shared" si="11"/>
        <v>1</v>
      </c>
      <c r="C719" s="28"/>
      <c r="D719" s="35" t="str">
        <f>IFERROR(VLOOKUP(C719,T_CÓDIGO[#All],4,FALSE),"")</f>
        <v/>
      </c>
      <c r="E719" s="30" t="str">
        <f>IFERROR(VLOOKUP(C719,T_CÓDIGO[#All],6,FALSE),"")</f>
        <v/>
      </c>
      <c r="F719" s="28"/>
      <c r="G719" s="30"/>
      <c r="H719" s="28"/>
      <c r="I719" s="30"/>
      <c r="J719" s="30"/>
      <c r="K719" s="30" t="str">
        <f>IFERROR(VLOOKUP(C719,T_CÓDIGO[#All],3,FALSE),"")</f>
        <v/>
      </c>
      <c r="L719" s="28"/>
      <c r="M719" s="28"/>
      <c r="N719" s="30"/>
    </row>
    <row r="720" spans="1:14" s="2" customFormat="1" ht="15" thickBot="1" x14ac:dyDescent="0.35">
      <c r="A720" s="29"/>
      <c r="B720" s="30">
        <f t="shared" si="11"/>
        <v>1</v>
      </c>
      <c r="C720" s="28"/>
      <c r="D720" s="35" t="str">
        <f>IFERROR(VLOOKUP(C720,T_CÓDIGO[#All],4,FALSE),"")</f>
        <v/>
      </c>
      <c r="E720" s="30" t="str">
        <f>IFERROR(VLOOKUP(C720,T_CÓDIGO[#All],6,FALSE),"")</f>
        <v/>
      </c>
      <c r="F720" s="28"/>
      <c r="G720" s="30"/>
      <c r="H720" s="28"/>
      <c r="I720" s="30"/>
      <c r="J720" s="30"/>
      <c r="K720" s="30" t="str">
        <f>IFERROR(VLOOKUP(C720,T_CÓDIGO[#All],3,FALSE),"")</f>
        <v/>
      </c>
      <c r="L720" s="28"/>
      <c r="M720" s="28"/>
      <c r="N720" s="30"/>
    </row>
    <row r="721" spans="1:14" s="2" customFormat="1" ht="15" thickBot="1" x14ac:dyDescent="0.35">
      <c r="A721" s="29"/>
      <c r="B721" s="30">
        <f t="shared" si="11"/>
        <v>1</v>
      </c>
      <c r="C721" s="28"/>
      <c r="D721" s="35" t="str">
        <f>IFERROR(VLOOKUP(C721,T_CÓDIGO[#All],4,FALSE),"")</f>
        <v/>
      </c>
      <c r="E721" s="30" t="str">
        <f>IFERROR(VLOOKUP(C721,T_CÓDIGO[#All],6,FALSE),"")</f>
        <v/>
      </c>
      <c r="F721" s="28"/>
      <c r="G721" s="30"/>
      <c r="H721" s="28"/>
      <c r="I721" s="30"/>
      <c r="J721" s="30"/>
      <c r="K721" s="30" t="str">
        <f>IFERROR(VLOOKUP(C721,T_CÓDIGO[#All],3,FALSE),"")</f>
        <v/>
      </c>
      <c r="L721" s="28"/>
      <c r="M721" s="28"/>
      <c r="N721" s="30"/>
    </row>
    <row r="722" spans="1:14" s="2" customFormat="1" ht="15" thickBot="1" x14ac:dyDescent="0.35">
      <c r="A722" s="29"/>
      <c r="B722" s="30">
        <f t="shared" si="11"/>
        <v>1</v>
      </c>
      <c r="C722" s="28"/>
      <c r="D722" s="35" t="str">
        <f>IFERROR(VLOOKUP(C722,T_CÓDIGO[#All],4,FALSE),"")</f>
        <v/>
      </c>
      <c r="E722" s="30" t="str">
        <f>IFERROR(VLOOKUP(C722,T_CÓDIGO[#All],6,FALSE),"")</f>
        <v/>
      </c>
      <c r="F722" s="28"/>
      <c r="G722" s="30"/>
      <c r="H722" s="28"/>
      <c r="I722" s="30"/>
      <c r="J722" s="30"/>
      <c r="K722" s="30" t="str">
        <f>IFERROR(VLOOKUP(C722,T_CÓDIGO[#All],3,FALSE),"")</f>
        <v/>
      </c>
      <c r="L722" s="28"/>
      <c r="M722" s="28"/>
      <c r="N722" s="30"/>
    </row>
    <row r="723" spans="1:14" s="2" customFormat="1" ht="15" thickBot="1" x14ac:dyDescent="0.35">
      <c r="A723" s="29"/>
      <c r="B723" s="30">
        <f t="shared" si="11"/>
        <v>1</v>
      </c>
      <c r="C723" s="28"/>
      <c r="D723" s="35" t="str">
        <f>IFERROR(VLOOKUP(C723,T_CÓDIGO[#All],4,FALSE),"")</f>
        <v/>
      </c>
      <c r="E723" s="30" t="str">
        <f>IFERROR(VLOOKUP(C723,T_CÓDIGO[#All],6,FALSE),"")</f>
        <v/>
      </c>
      <c r="F723" s="28"/>
      <c r="G723" s="30"/>
      <c r="H723" s="28"/>
      <c r="I723" s="30"/>
      <c r="J723" s="30"/>
      <c r="K723" s="30" t="str">
        <f>IFERROR(VLOOKUP(C723,T_CÓDIGO[#All],3,FALSE),"")</f>
        <v/>
      </c>
      <c r="L723" s="28"/>
      <c r="M723" s="28"/>
      <c r="N723" s="30"/>
    </row>
    <row r="724" spans="1:14" s="2" customFormat="1" ht="15" thickBot="1" x14ac:dyDescent="0.35">
      <c r="A724" s="29"/>
      <c r="B724" s="30">
        <f t="shared" si="11"/>
        <v>1</v>
      </c>
      <c r="C724" s="28"/>
      <c r="D724" s="35" t="str">
        <f>IFERROR(VLOOKUP(C724,T_CÓDIGO[#All],4,FALSE),"")</f>
        <v/>
      </c>
      <c r="E724" s="30" t="str">
        <f>IFERROR(VLOOKUP(C724,T_CÓDIGO[#All],6,FALSE),"")</f>
        <v/>
      </c>
      <c r="F724" s="28"/>
      <c r="G724" s="30"/>
      <c r="H724" s="28"/>
      <c r="I724" s="30"/>
      <c r="J724" s="30"/>
      <c r="K724" s="30" t="str">
        <f>IFERROR(VLOOKUP(C724,T_CÓDIGO[#All],3,FALSE),"")</f>
        <v/>
      </c>
      <c r="L724" s="28"/>
      <c r="M724" s="28"/>
      <c r="N724" s="30"/>
    </row>
    <row r="725" spans="1:14" s="2" customFormat="1" ht="15" thickBot="1" x14ac:dyDescent="0.35">
      <c r="A725" s="29"/>
      <c r="B725" s="30">
        <f t="shared" si="11"/>
        <v>1</v>
      </c>
      <c r="C725" s="28"/>
      <c r="D725" s="35" t="str">
        <f>IFERROR(VLOOKUP(C725,T_CÓDIGO[#All],4,FALSE),"")</f>
        <v/>
      </c>
      <c r="E725" s="30" t="str">
        <f>IFERROR(VLOOKUP(C725,T_CÓDIGO[#All],6,FALSE),"")</f>
        <v/>
      </c>
      <c r="F725" s="28"/>
      <c r="G725" s="30"/>
      <c r="H725" s="28"/>
      <c r="I725" s="30"/>
      <c r="J725" s="30"/>
      <c r="K725" s="30" t="str">
        <f>IFERROR(VLOOKUP(C725,T_CÓDIGO[#All],3,FALSE),"")</f>
        <v/>
      </c>
      <c r="L725" s="28"/>
      <c r="M725" s="28"/>
      <c r="N725" s="30"/>
    </row>
    <row r="726" spans="1:14" s="2" customFormat="1" ht="15" thickBot="1" x14ac:dyDescent="0.35">
      <c r="A726" s="29"/>
      <c r="B726" s="30">
        <f t="shared" si="11"/>
        <v>1</v>
      </c>
      <c r="C726" s="28"/>
      <c r="D726" s="35" t="str">
        <f>IFERROR(VLOOKUP(C726,T_CÓDIGO[#All],4,FALSE),"")</f>
        <v/>
      </c>
      <c r="E726" s="30" t="str">
        <f>IFERROR(VLOOKUP(C726,T_CÓDIGO[#All],6,FALSE),"")</f>
        <v/>
      </c>
      <c r="F726" s="28"/>
      <c r="G726" s="30"/>
      <c r="H726" s="28"/>
      <c r="I726" s="30"/>
      <c r="J726" s="30"/>
      <c r="K726" s="30" t="str">
        <f>IFERROR(VLOOKUP(C726,T_CÓDIGO[#All],3,FALSE),"")</f>
        <v/>
      </c>
      <c r="L726" s="28"/>
      <c r="M726" s="28"/>
      <c r="N726" s="30"/>
    </row>
    <row r="727" spans="1:14" s="2" customFormat="1" ht="15" thickBot="1" x14ac:dyDescent="0.35">
      <c r="A727" s="29"/>
      <c r="B727" s="30">
        <f t="shared" si="11"/>
        <v>1</v>
      </c>
      <c r="C727" s="28"/>
      <c r="D727" s="35" t="str">
        <f>IFERROR(VLOOKUP(C727,T_CÓDIGO[#All],4,FALSE),"")</f>
        <v/>
      </c>
      <c r="E727" s="30" t="str">
        <f>IFERROR(VLOOKUP(C727,T_CÓDIGO[#All],6,FALSE),"")</f>
        <v/>
      </c>
      <c r="F727" s="28"/>
      <c r="G727" s="30"/>
      <c r="H727" s="28"/>
      <c r="I727" s="30"/>
      <c r="J727" s="30"/>
      <c r="K727" s="30" t="str">
        <f>IFERROR(VLOOKUP(C727,T_CÓDIGO[#All],3,FALSE),"")</f>
        <v/>
      </c>
      <c r="L727" s="28"/>
      <c r="M727" s="28"/>
      <c r="N727" s="30"/>
    </row>
    <row r="728" spans="1:14" s="2" customFormat="1" ht="15" thickBot="1" x14ac:dyDescent="0.35">
      <c r="A728" s="29"/>
      <c r="B728" s="30">
        <f t="shared" si="11"/>
        <v>1</v>
      </c>
      <c r="C728" s="28"/>
      <c r="D728" s="35" t="str">
        <f>IFERROR(VLOOKUP(C728,T_CÓDIGO[#All],4,FALSE),"")</f>
        <v/>
      </c>
      <c r="E728" s="30" t="str">
        <f>IFERROR(VLOOKUP(C728,T_CÓDIGO[#All],6,FALSE),"")</f>
        <v/>
      </c>
      <c r="F728" s="28"/>
      <c r="G728" s="30"/>
      <c r="H728" s="28"/>
      <c r="I728" s="30"/>
      <c r="J728" s="30"/>
      <c r="K728" s="30" t="str">
        <f>IFERROR(VLOOKUP(C728,T_CÓDIGO[#All],3,FALSE),"")</f>
        <v/>
      </c>
      <c r="L728" s="28"/>
      <c r="M728" s="28"/>
      <c r="N728" s="30"/>
    </row>
    <row r="729" spans="1:14" s="2" customFormat="1" ht="15" thickBot="1" x14ac:dyDescent="0.35">
      <c r="A729" s="29"/>
      <c r="B729" s="30">
        <f t="shared" si="11"/>
        <v>1</v>
      </c>
      <c r="C729" s="28"/>
      <c r="D729" s="35" t="str">
        <f>IFERROR(VLOOKUP(C729,T_CÓDIGO[#All],4,FALSE),"")</f>
        <v/>
      </c>
      <c r="E729" s="30" t="str">
        <f>IFERROR(VLOOKUP(C729,T_CÓDIGO[#All],6,FALSE),"")</f>
        <v/>
      </c>
      <c r="F729" s="28"/>
      <c r="G729" s="30"/>
      <c r="H729" s="28"/>
      <c r="I729" s="30"/>
      <c r="J729" s="30"/>
      <c r="K729" s="30" t="str">
        <f>IFERROR(VLOOKUP(C729,T_CÓDIGO[#All],3,FALSE),"")</f>
        <v/>
      </c>
      <c r="L729" s="28"/>
      <c r="M729" s="28"/>
      <c r="N729" s="30"/>
    </row>
    <row r="730" spans="1:14" s="2" customFormat="1" ht="15" thickBot="1" x14ac:dyDescent="0.35">
      <c r="A730" s="29"/>
      <c r="B730" s="30">
        <f t="shared" si="11"/>
        <v>1</v>
      </c>
      <c r="C730" s="28"/>
      <c r="D730" s="35" t="str">
        <f>IFERROR(VLOOKUP(C730,T_CÓDIGO[#All],4,FALSE),"")</f>
        <v/>
      </c>
      <c r="E730" s="30" t="str">
        <f>IFERROR(VLOOKUP(C730,T_CÓDIGO[#All],6,FALSE),"")</f>
        <v/>
      </c>
      <c r="F730" s="28"/>
      <c r="G730" s="30"/>
      <c r="H730" s="28"/>
      <c r="I730" s="30"/>
      <c r="J730" s="30"/>
      <c r="K730" s="30" t="str">
        <f>IFERROR(VLOOKUP(C730,T_CÓDIGO[#All],3,FALSE),"")</f>
        <v/>
      </c>
      <c r="L730" s="28"/>
      <c r="M730" s="28"/>
      <c r="N730" s="30"/>
    </row>
    <row r="731" spans="1:14" s="2" customFormat="1" ht="15" thickBot="1" x14ac:dyDescent="0.35">
      <c r="A731" s="29"/>
      <c r="B731" s="30">
        <f t="shared" si="11"/>
        <v>1</v>
      </c>
      <c r="C731" s="28"/>
      <c r="D731" s="35" t="str">
        <f>IFERROR(VLOOKUP(C731,T_CÓDIGO[#All],4,FALSE),"")</f>
        <v/>
      </c>
      <c r="E731" s="30" t="str">
        <f>IFERROR(VLOOKUP(C731,T_CÓDIGO[#All],6,FALSE),"")</f>
        <v/>
      </c>
      <c r="F731" s="28"/>
      <c r="G731" s="30"/>
      <c r="H731" s="28"/>
      <c r="I731" s="30"/>
      <c r="J731" s="30"/>
      <c r="K731" s="30" t="str">
        <f>IFERROR(VLOOKUP(C731,T_CÓDIGO[#All],3,FALSE),"")</f>
        <v/>
      </c>
      <c r="L731" s="28"/>
      <c r="M731" s="28"/>
      <c r="N731" s="30"/>
    </row>
    <row r="732" spans="1:14" s="2" customFormat="1" ht="15" thickBot="1" x14ac:dyDescent="0.35">
      <c r="A732" s="29"/>
      <c r="B732" s="30">
        <f t="shared" si="11"/>
        <v>1</v>
      </c>
      <c r="C732" s="28"/>
      <c r="D732" s="35" t="str">
        <f>IFERROR(VLOOKUP(C732,T_CÓDIGO[#All],4,FALSE),"")</f>
        <v/>
      </c>
      <c r="E732" s="30" t="str">
        <f>IFERROR(VLOOKUP(C732,T_CÓDIGO[#All],6,FALSE),"")</f>
        <v/>
      </c>
      <c r="F732" s="28"/>
      <c r="G732" s="30"/>
      <c r="H732" s="28"/>
      <c r="I732" s="30"/>
      <c r="J732" s="30"/>
      <c r="K732" s="30" t="str">
        <f>IFERROR(VLOOKUP(C732,T_CÓDIGO[#All],3,FALSE),"")</f>
        <v/>
      </c>
      <c r="L732" s="28"/>
      <c r="M732" s="28"/>
      <c r="N732" s="30"/>
    </row>
    <row r="733" spans="1:14" s="2" customFormat="1" ht="15" thickBot="1" x14ac:dyDescent="0.35">
      <c r="A733" s="29"/>
      <c r="B733" s="30">
        <f t="shared" si="11"/>
        <v>1</v>
      </c>
      <c r="C733" s="28"/>
      <c r="D733" s="35" t="str">
        <f>IFERROR(VLOOKUP(C733,T_CÓDIGO[#All],4,FALSE),"")</f>
        <v/>
      </c>
      <c r="E733" s="30" t="str">
        <f>IFERROR(VLOOKUP(C733,T_CÓDIGO[#All],6,FALSE),"")</f>
        <v/>
      </c>
      <c r="F733" s="28"/>
      <c r="G733" s="30"/>
      <c r="H733" s="28"/>
      <c r="I733" s="30"/>
      <c r="J733" s="30"/>
      <c r="K733" s="30" t="str">
        <f>IFERROR(VLOOKUP(C733,T_CÓDIGO[#All],3,FALSE),"")</f>
        <v/>
      </c>
      <c r="L733" s="28"/>
      <c r="M733" s="28"/>
      <c r="N733" s="30"/>
    </row>
    <row r="734" spans="1:14" s="2" customFormat="1" ht="15" thickBot="1" x14ac:dyDescent="0.35">
      <c r="A734" s="29"/>
      <c r="B734" s="30">
        <f t="shared" si="11"/>
        <v>1</v>
      </c>
      <c r="C734" s="28"/>
      <c r="D734" s="35" t="str">
        <f>IFERROR(VLOOKUP(C734,T_CÓDIGO[#All],4,FALSE),"")</f>
        <v/>
      </c>
      <c r="E734" s="30" t="str">
        <f>IFERROR(VLOOKUP(C734,T_CÓDIGO[#All],6,FALSE),"")</f>
        <v/>
      </c>
      <c r="F734" s="28"/>
      <c r="G734" s="30"/>
      <c r="H734" s="28"/>
      <c r="I734" s="30"/>
      <c r="J734" s="30"/>
      <c r="K734" s="30" t="str">
        <f>IFERROR(VLOOKUP(C734,T_CÓDIGO[#All],3,FALSE),"")</f>
        <v/>
      </c>
      <c r="L734" s="28"/>
      <c r="M734" s="28"/>
      <c r="N734" s="30"/>
    </row>
    <row r="735" spans="1:14" s="2" customFormat="1" ht="15" thickBot="1" x14ac:dyDescent="0.35">
      <c r="A735" s="29"/>
      <c r="B735" s="30">
        <f t="shared" si="11"/>
        <v>1</v>
      </c>
      <c r="C735" s="28"/>
      <c r="D735" s="35" t="str">
        <f>IFERROR(VLOOKUP(C735,T_CÓDIGO[#All],4,FALSE),"")</f>
        <v/>
      </c>
      <c r="E735" s="30" t="str">
        <f>IFERROR(VLOOKUP(C735,T_CÓDIGO[#All],6,FALSE),"")</f>
        <v/>
      </c>
      <c r="F735" s="28"/>
      <c r="G735" s="30"/>
      <c r="H735" s="28"/>
      <c r="I735" s="30"/>
      <c r="J735" s="30"/>
      <c r="K735" s="30" t="str">
        <f>IFERROR(VLOOKUP(C735,T_CÓDIGO[#All],3,FALSE),"")</f>
        <v/>
      </c>
      <c r="L735" s="28"/>
      <c r="M735" s="28"/>
      <c r="N735" s="30"/>
    </row>
    <row r="736" spans="1:14" s="2" customFormat="1" ht="15" thickBot="1" x14ac:dyDescent="0.35">
      <c r="A736" s="29"/>
      <c r="B736" s="30">
        <f t="shared" si="11"/>
        <v>1</v>
      </c>
      <c r="C736" s="28"/>
      <c r="D736" s="35" t="str">
        <f>IFERROR(VLOOKUP(C736,T_CÓDIGO[#All],4,FALSE),"")</f>
        <v/>
      </c>
      <c r="E736" s="30" t="str">
        <f>IFERROR(VLOOKUP(C736,T_CÓDIGO[#All],6,FALSE),"")</f>
        <v/>
      </c>
      <c r="F736" s="28"/>
      <c r="G736" s="30"/>
      <c r="H736" s="28"/>
      <c r="I736" s="30"/>
      <c r="J736" s="30"/>
      <c r="K736" s="30" t="str">
        <f>IFERROR(VLOOKUP(C736,T_CÓDIGO[#All],3,FALSE),"")</f>
        <v/>
      </c>
      <c r="L736" s="28"/>
      <c r="M736" s="28"/>
      <c r="N736" s="30"/>
    </row>
    <row r="737" spans="1:14" s="2" customFormat="1" ht="15" thickBot="1" x14ac:dyDescent="0.35">
      <c r="A737" s="29"/>
      <c r="B737" s="30">
        <f t="shared" si="11"/>
        <v>1</v>
      </c>
      <c r="C737" s="28"/>
      <c r="D737" s="35" t="str">
        <f>IFERROR(VLOOKUP(C737,T_CÓDIGO[#All],4,FALSE),"")</f>
        <v/>
      </c>
      <c r="E737" s="30" t="str">
        <f>IFERROR(VLOOKUP(C737,T_CÓDIGO[#All],6,FALSE),"")</f>
        <v/>
      </c>
      <c r="F737" s="28"/>
      <c r="G737" s="30"/>
      <c r="H737" s="28"/>
      <c r="I737" s="30"/>
      <c r="J737" s="30"/>
      <c r="K737" s="30" t="str">
        <f>IFERROR(VLOOKUP(C737,T_CÓDIGO[#All],3,FALSE),"")</f>
        <v/>
      </c>
      <c r="L737" s="28"/>
      <c r="M737" s="28"/>
      <c r="N737" s="30"/>
    </row>
    <row r="738" spans="1:14" s="2" customFormat="1" ht="15" thickBot="1" x14ac:dyDescent="0.35">
      <c r="A738" s="29"/>
      <c r="B738" s="30">
        <f t="shared" si="11"/>
        <v>1</v>
      </c>
      <c r="C738" s="28"/>
      <c r="D738" s="35" t="str">
        <f>IFERROR(VLOOKUP(C738,T_CÓDIGO[#All],4,FALSE),"")</f>
        <v/>
      </c>
      <c r="E738" s="30" t="str">
        <f>IFERROR(VLOOKUP(C738,T_CÓDIGO[#All],6,FALSE),"")</f>
        <v/>
      </c>
      <c r="F738" s="28"/>
      <c r="G738" s="30"/>
      <c r="H738" s="28"/>
      <c r="I738" s="30"/>
      <c r="J738" s="30"/>
      <c r="K738" s="30" t="str">
        <f>IFERROR(VLOOKUP(C738,T_CÓDIGO[#All],3,FALSE),"")</f>
        <v/>
      </c>
      <c r="L738" s="28"/>
      <c r="M738" s="28"/>
      <c r="N738" s="30"/>
    </row>
    <row r="739" spans="1:14" s="2" customFormat="1" ht="15" thickBot="1" x14ac:dyDescent="0.35">
      <c r="A739" s="29"/>
      <c r="B739" s="30">
        <f t="shared" si="11"/>
        <v>1</v>
      </c>
      <c r="C739" s="28"/>
      <c r="D739" s="35" t="str">
        <f>IFERROR(VLOOKUP(C739,T_CÓDIGO[#All],4,FALSE),"")</f>
        <v/>
      </c>
      <c r="E739" s="30" t="str">
        <f>IFERROR(VLOOKUP(C739,T_CÓDIGO[#All],6,FALSE),"")</f>
        <v/>
      </c>
      <c r="F739" s="28"/>
      <c r="G739" s="30"/>
      <c r="H739" s="28"/>
      <c r="I739" s="30"/>
      <c r="J739" s="30"/>
      <c r="K739" s="30" t="str">
        <f>IFERROR(VLOOKUP(C739,T_CÓDIGO[#All],3,FALSE),"")</f>
        <v/>
      </c>
      <c r="L739" s="28"/>
      <c r="M739" s="28"/>
      <c r="N739" s="30"/>
    </row>
    <row r="740" spans="1:14" s="2" customFormat="1" ht="15" thickBot="1" x14ac:dyDescent="0.35">
      <c r="A740" s="29"/>
      <c r="B740" s="30">
        <f t="shared" si="11"/>
        <v>1</v>
      </c>
      <c r="C740" s="28"/>
      <c r="D740" s="35" t="str">
        <f>IFERROR(VLOOKUP(C740,T_CÓDIGO[#All],4,FALSE),"")</f>
        <v/>
      </c>
      <c r="E740" s="30" t="str">
        <f>IFERROR(VLOOKUP(C740,T_CÓDIGO[#All],6,FALSE),"")</f>
        <v/>
      </c>
      <c r="F740" s="28"/>
      <c r="G740" s="30"/>
      <c r="H740" s="28"/>
      <c r="I740" s="30"/>
      <c r="J740" s="30"/>
      <c r="K740" s="30" t="str">
        <f>IFERROR(VLOOKUP(C740,T_CÓDIGO[#All],3,FALSE),"")</f>
        <v/>
      </c>
      <c r="L740" s="28"/>
      <c r="M740" s="28"/>
      <c r="N740" s="30"/>
    </row>
    <row r="741" spans="1:14" s="2" customFormat="1" ht="15" thickBot="1" x14ac:dyDescent="0.35">
      <c r="A741" s="29"/>
      <c r="B741" s="30">
        <f t="shared" si="11"/>
        <v>1</v>
      </c>
      <c r="C741" s="28"/>
      <c r="D741" s="35" t="str">
        <f>IFERROR(VLOOKUP(C741,T_CÓDIGO[#All],4,FALSE),"")</f>
        <v/>
      </c>
      <c r="E741" s="30" t="str">
        <f>IFERROR(VLOOKUP(C741,T_CÓDIGO[#All],6,FALSE),"")</f>
        <v/>
      </c>
      <c r="F741" s="28"/>
      <c r="G741" s="30"/>
      <c r="H741" s="28"/>
      <c r="I741" s="30"/>
      <c r="J741" s="30"/>
      <c r="K741" s="30" t="str">
        <f>IFERROR(VLOOKUP(C741,T_CÓDIGO[#All],3,FALSE),"")</f>
        <v/>
      </c>
      <c r="L741" s="28"/>
      <c r="M741" s="28"/>
      <c r="N741" s="30"/>
    </row>
    <row r="742" spans="1:14" s="2" customFormat="1" ht="15" thickBot="1" x14ac:dyDescent="0.35">
      <c r="A742" s="29"/>
      <c r="B742" s="30">
        <f t="shared" si="11"/>
        <v>1</v>
      </c>
      <c r="C742" s="28"/>
      <c r="D742" s="35" t="str">
        <f>IFERROR(VLOOKUP(C742,T_CÓDIGO[#All],4,FALSE),"")</f>
        <v/>
      </c>
      <c r="E742" s="30" t="str">
        <f>IFERROR(VLOOKUP(C742,T_CÓDIGO[#All],6,FALSE),"")</f>
        <v/>
      </c>
      <c r="F742" s="28"/>
      <c r="G742" s="30"/>
      <c r="H742" s="28"/>
      <c r="I742" s="30"/>
      <c r="J742" s="30"/>
      <c r="K742" s="30" t="str">
        <f>IFERROR(VLOOKUP(C742,T_CÓDIGO[#All],3,FALSE),"")</f>
        <v/>
      </c>
      <c r="L742" s="28"/>
      <c r="M742" s="28"/>
      <c r="N742" s="30"/>
    </row>
    <row r="743" spans="1:14" s="2" customFormat="1" ht="15" thickBot="1" x14ac:dyDescent="0.35">
      <c r="A743" s="29"/>
      <c r="B743" s="30">
        <f t="shared" si="11"/>
        <v>1</v>
      </c>
      <c r="C743" s="28"/>
      <c r="D743" s="35" t="str">
        <f>IFERROR(VLOOKUP(C743,T_CÓDIGO[#All],4,FALSE),"")</f>
        <v/>
      </c>
      <c r="E743" s="30" t="str">
        <f>IFERROR(VLOOKUP(C743,T_CÓDIGO[#All],6,FALSE),"")</f>
        <v/>
      </c>
      <c r="F743" s="28"/>
      <c r="G743" s="30"/>
      <c r="H743" s="28"/>
      <c r="I743" s="30"/>
      <c r="J743" s="30"/>
      <c r="K743" s="30" t="str">
        <f>IFERROR(VLOOKUP(C743,T_CÓDIGO[#All],3,FALSE),"")</f>
        <v/>
      </c>
      <c r="L743" s="28"/>
      <c r="M743" s="28"/>
      <c r="N743" s="30"/>
    </row>
    <row r="744" spans="1:14" s="2" customFormat="1" ht="15" thickBot="1" x14ac:dyDescent="0.35">
      <c r="A744" s="29"/>
      <c r="B744" s="30">
        <f t="shared" si="11"/>
        <v>1</v>
      </c>
      <c r="C744" s="28"/>
      <c r="D744" s="35" t="str">
        <f>IFERROR(VLOOKUP(C744,T_CÓDIGO[#All],4,FALSE),"")</f>
        <v/>
      </c>
      <c r="E744" s="30" t="str">
        <f>IFERROR(VLOOKUP(C744,T_CÓDIGO[#All],6,FALSE),"")</f>
        <v/>
      </c>
      <c r="F744" s="28"/>
      <c r="G744" s="30"/>
      <c r="H744" s="28"/>
      <c r="I744" s="30"/>
      <c r="J744" s="30"/>
      <c r="K744" s="30" t="str">
        <f>IFERROR(VLOOKUP(C744,T_CÓDIGO[#All],3,FALSE),"")</f>
        <v/>
      </c>
      <c r="L744" s="28"/>
      <c r="M744" s="28"/>
      <c r="N744" s="30"/>
    </row>
    <row r="745" spans="1:14" s="2" customFormat="1" ht="15" thickBot="1" x14ac:dyDescent="0.35">
      <c r="A745" s="29"/>
      <c r="B745" s="30">
        <f t="shared" si="11"/>
        <v>1</v>
      </c>
      <c r="C745" s="28"/>
      <c r="D745" s="35" t="str">
        <f>IFERROR(VLOOKUP(C745,T_CÓDIGO[#All],4,FALSE),"")</f>
        <v/>
      </c>
      <c r="E745" s="30" t="str">
        <f>IFERROR(VLOOKUP(C745,T_CÓDIGO[#All],6,FALSE),"")</f>
        <v/>
      </c>
      <c r="F745" s="28"/>
      <c r="G745" s="30"/>
      <c r="H745" s="28"/>
      <c r="I745" s="30"/>
      <c r="J745" s="30"/>
      <c r="K745" s="30" t="str">
        <f>IFERROR(VLOOKUP(C745,T_CÓDIGO[#All],3,FALSE),"")</f>
        <v/>
      </c>
      <c r="L745" s="28"/>
      <c r="M745" s="28"/>
      <c r="N745" s="30"/>
    </row>
    <row r="746" spans="1:14" s="2" customFormat="1" ht="15" thickBot="1" x14ac:dyDescent="0.35">
      <c r="A746" s="29"/>
      <c r="B746" s="30">
        <f t="shared" si="11"/>
        <v>1</v>
      </c>
      <c r="C746" s="28"/>
      <c r="D746" s="35" t="str">
        <f>IFERROR(VLOOKUP(C746,T_CÓDIGO[#All],4,FALSE),"")</f>
        <v/>
      </c>
      <c r="E746" s="30" t="str">
        <f>IFERROR(VLOOKUP(C746,T_CÓDIGO[#All],6,FALSE),"")</f>
        <v/>
      </c>
      <c r="F746" s="28"/>
      <c r="G746" s="30"/>
      <c r="H746" s="28"/>
      <c r="I746" s="30"/>
      <c r="J746" s="30"/>
      <c r="K746" s="30" t="str">
        <f>IFERROR(VLOOKUP(C746,T_CÓDIGO[#All],3,FALSE),"")</f>
        <v/>
      </c>
      <c r="L746" s="28"/>
      <c r="M746" s="28"/>
      <c r="N746" s="30"/>
    </row>
    <row r="747" spans="1:14" s="2" customFormat="1" ht="15" thickBot="1" x14ac:dyDescent="0.35">
      <c r="A747" s="29"/>
      <c r="B747" s="30">
        <f t="shared" si="11"/>
        <v>1</v>
      </c>
      <c r="C747" s="28"/>
      <c r="D747" s="35" t="str">
        <f>IFERROR(VLOOKUP(C747,T_CÓDIGO[#All],4,FALSE),"")</f>
        <v/>
      </c>
      <c r="E747" s="30" t="str">
        <f>IFERROR(VLOOKUP(C747,T_CÓDIGO[#All],6,FALSE),"")</f>
        <v/>
      </c>
      <c r="F747" s="28"/>
      <c r="G747" s="30"/>
      <c r="H747" s="28"/>
      <c r="I747" s="30"/>
      <c r="J747" s="30"/>
      <c r="K747" s="30" t="str">
        <f>IFERROR(VLOOKUP(C747,T_CÓDIGO[#All],3,FALSE),"")</f>
        <v/>
      </c>
      <c r="L747" s="28"/>
      <c r="M747" s="28"/>
      <c r="N747" s="30"/>
    </row>
    <row r="748" spans="1:14" s="2" customFormat="1" ht="15" thickBot="1" x14ac:dyDescent="0.35">
      <c r="A748" s="29"/>
      <c r="B748" s="30">
        <f t="shared" si="11"/>
        <v>1</v>
      </c>
      <c r="C748" s="28"/>
      <c r="D748" s="35" t="str">
        <f>IFERROR(VLOOKUP(C748,T_CÓDIGO[#All],4,FALSE),"")</f>
        <v/>
      </c>
      <c r="E748" s="30" t="str">
        <f>IFERROR(VLOOKUP(C748,T_CÓDIGO[#All],6,FALSE),"")</f>
        <v/>
      </c>
      <c r="F748" s="28"/>
      <c r="G748" s="30"/>
      <c r="H748" s="28"/>
      <c r="I748" s="30"/>
      <c r="J748" s="30"/>
      <c r="K748" s="30" t="str">
        <f>IFERROR(VLOOKUP(C748,T_CÓDIGO[#All],3,FALSE),"")</f>
        <v/>
      </c>
      <c r="L748" s="28"/>
      <c r="M748" s="28"/>
      <c r="N748" s="30"/>
    </row>
    <row r="749" spans="1:14" s="2" customFormat="1" ht="15" thickBot="1" x14ac:dyDescent="0.35">
      <c r="A749" s="29"/>
      <c r="B749" s="30">
        <f t="shared" si="11"/>
        <v>1</v>
      </c>
      <c r="C749" s="28"/>
      <c r="D749" s="35" t="str">
        <f>IFERROR(VLOOKUP(C749,T_CÓDIGO[#All],4,FALSE),"")</f>
        <v/>
      </c>
      <c r="E749" s="30" t="str">
        <f>IFERROR(VLOOKUP(C749,T_CÓDIGO[#All],6,FALSE),"")</f>
        <v/>
      </c>
      <c r="F749" s="28"/>
      <c r="G749" s="30"/>
      <c r="H749" s="28"/>
      <c r="I749" s="30"/>
      <c r="J749" s="30"/>
      <c r="K749" s="30" t="str">
        <f>IFERROR(VLOOKUP(C749,T_CÓDIGO[#All],3,FALSE),"")</f>
        <v/>
      </c>
      <c r="L749" s="28"/>
      <c r="M749" s="28"/>
      <c r="N749" s="30"/>
    </row>
    <row r="750" spans="1:14" s="2" customFormat="1" ht="15" thickBot="1" x14ac:dyDescent="0.35">
      <c r="A750" s="29"/>
      <c r="B750" s="30">
        <f t="shared" si="11"/>
        <v>1</v>
      </c>
      <c r="C750" s="28"/>
      <c r="D750" s="35" t="str">
        <f>IFERROR(VLOOKUP(C750,T_CÓDIGO[#All],4,FALSE),"")</f>
        <v/>
      </c>
      <c r="E750" s="30" t="str">
        <f>IFERROR(VLOOKUP(C750,T_CÓDIGO[#All],6,FALSE),"")</f>
        <v/>
      </c>
      <c r="F750" s="28"/>
      <c r="G750" s="30"/>
      <c r="H750" s="28"/>
      <c r="I750" s="30"/>
      <c r="J750" s="30"/>
      <c r="K750" s="30" t="str">
        <f>IFERROR(VLOOKUP(C750,T_CÓDIGO[#All],3,FALSE),"")</f>
        <v/>
      </c>
      <c r="L750" s="28"/>
      <c r="M750" s="28"/>
      <c r="N750" s="30"/>
    </row>
    <row r="751" spans="1:14" s="2" customFormat="1" ht="15" thickBot="1" x14ac:dyDescent="0.35">
      <c r="A751" s="29"/>
      <c r="B751" s="30">
        <f t="shared" si="11"/>
        <v>1</v>
      </c>
      <c r="C751" s="28"/>
      <c r="D751" s="35" t="str">
        <f>IFERROR(VLOOKUP(C751,T_CÓDIGO[#All],4,FALSE),"")</f>
        <v/>
      </c>
      <c r="E751" s="30" t="str">
        <f>IFERROR(VLOOKUP(C751,T_CÓDIGO[#All],6,FALSE),"")</f>
        <v/>
      </c>
      <c r="F751" s="28"/>
      <c r="G751" s="30"/>
      <c r="H751" s="28"/>
      <c r="I751" s="30"/>
      <c r="J751" s="30"/>
      <c r="K751" s="30" t="str">
        <f>IFERROR(VLOOKUP(C751,T_CÓDIGO[#All],3,FALSE),"")</f>
        <v/>
      </c>
      <c r="L751" s="28"/>
      <c r="M751" s="28"/>
      <c r="N751" s="30"/>
    </row>
    <row r="752" spans="1:14" s="2" customFormat="1" ht="15" thickBot="1" x14ac:dyDescent="0.35">
      <c r="A752" s="29"/>
      <c r="B752" s="30">
        <f t="shared" si="11"/>
        <v>1</v>
      </c>
      <c r="C752" s="28"/>
      <c r="D752" s="35" t="str">
        <f>IFERROR(VLOOKUP(C752,T_CÓDIGO[#All],4,FALSE),"")</f>
        <v/>
      </c>
      <c r="E752" s="30" t="str">
        <f>IFERROR(VLOOKUP(C752,T_CÓDIGO[#All],6,FALSE),"")</f>
        <v/>
      </c>
      <c r="F752" s="28"/>
      <c r="G752" s="30"/>
      <c r="H752" s="28"/>
      <c r="I752" s="30"/>
      <c r="J752" s="30"/>
      <c r="K752" s="30" t="str">
        <f>IFERROR(VLOOKUP(C752,T_CÓDIGO[#All],3,FALSE),"")</f>
        <v/>
      </c>
      <c r="L752" s="28"/>
      <c r="M752" s="28"/>
      <c r="N752" s="30"/>
    </row>
    <row r="753" spans="1:14" s="2" customFormat="1" ht="15" thickBot="1" x14ac:dyDescent="0.35">
      <c r="A753" s="29"/>
      <c r="B753" s="30">
        <f t="shared" si="11"/>
        <v>1</v>
      </c>
      <c r="C753" s="28"/>
      <c r="D753" s="35" t="str">
        <f>IFERROR(VLOOKUP(C753,T_CÓDIGO[#All],4,FALSE),"")</f>
        <v/>
      </c>
      <c r="E753" s="30" t="str">
        <f>IFERROR(VLOOKUP(C753,T_CÓDIGO[#All],6,FALSE),"")</f>
        <v/>
      </c>
      <c r="F753" s="28"/>
      <c r="G753" s="30"/>
      <c r="H753" s="28"/>
      <c r="I753" s="30"/>
      <c r="J753" s="30"/>
      <c r="K753" s="30" t="str">
        <f>IFERROR(VLOOKUP(C753,T_CÓDIGO[#All],3,FALSE),"")</f>
        <v/>
      </c>
      <c r="L753" s="28"/>
      <c r="M753" s="28"/>
      <c r="N753" s="30"/>
    </row>
    <row r="754" spans="1:14" s="2" customFormat="1" ht="15" thickBot="1" x14ac:dyDescent="0.35">
      <c r="A754" s="29"/>
      <c r="B754" s="30">
        <f t="shared" si="11"/>
        <v>1</v>
      </c>
      <c r="C754" s="28"/>
      <c r="D754" s="35" t="str">
        <f>IFERROR(VLOOKUP(C754,T_CÓDIGO[#All],4,FALSE),"")</f>
        <v/>
      </c>
      <c r="E754" s="30" t="str">
        <f>IFERROR(VLOOKUP(C754,T_CÓDIGO[#All],6,FALSE),"")</f>
        <v/>
      </c>
      <c r="F754" s="28"/>
      <c r="G754" s="30"/>
      <c r="H754" s="28"/>
      <c r="I754" s="30"/>
      <c r="J754" s="30"/>
      <c r="K754" s="30" t="str">
        <f>IFERROR(VLOOKUP(C754,T_CÓDIGO[#All],3,FALSE),"")</f>
        <v/>
      </c>
      <c r="L754" s="28"/>
      <c r="M754" s="28"/>
      <c r="N754" s="30"/>
    </row>
    <row r="755" spans="1:14" s="2" customFormat="1" ht="15" thickBot="1" x14ac:dyDescent="0.35">
      <c r="A755" s="29"/>
      <c r="B755" s="30">
        <f t="shared" si="11"/>
        <v>1</v>
      </c>
      <c r="C755" s="28"/>
      <c r="D755" s="35" t="str">
        <f>IFERROR(VLOOKUP(C755,T_CÓDIGO[#All],4,FALSE),"")</f>
        <v/>
      </c>
      <c r="E755" s="30" t="str">
        <f>IFERROR(VLOOKUP(C755,T_CÓDIGO[#All],6,FALSE),"")</f>
        <v/>
      </c>
      <c r="F755" s="28"/>
      <c r="G755" s="30"/>
      <c r="H755" s="28"/>
      <c r="I755" s="30"/>
      <c r="J755" s="30"/>
      <c r="K755" s="30" t="str">
        <f>IFERROR(VLOOKUP(C755,T_CÓDIGO[#All],3,FALSE),"")</f>
        <v/>
      </c>
      <c r="L755" s="28"/>
      <c r="M755" s="28"/>
      <c r="N755" s="30"/>
    </row>
    <row r="756" spans="1:14" s="2" customFormat="1" ht="15" thickBot="1" x14ac:dyDescent="0.35">
      <c r="A756" s="29"/>
      <c r="B756" s="30">
        <f t="shared" si="11"/>
        <v>1</v>
      </c>
      <c r="C756" s="28"/>
      <c r="D756" s="35" t="str">
        <f>IFERROR(VLOOKUP(C756,T_CÓDIGO[#All],4,FALSE),"")</f>
        <v/>
      </c>
      <c r="E756" s="30" t="str">
        <f>IFERROR(VLOOKUP(C756,T_CÓDIGO[#All],6,FALSE),"")</f>
        <v/>
      </c>
      <c r="F756" s="28"/>
      <c r="G756" s="30"/>
      <c r="H756" s="28"/>
      <c r="I756" s="30"/>
      <c r="J756" s="30"/>
      <c r="K756" s="30" t="str">
        <f>IFERROR(VLOOKUP(C756,T_CÓDIGO[#All],3,FALSE),"")</f>
        <v/>
      </c>
      <c r="L756" s="28"/>
      <c r="M756" s="28"/>
      <c r="N756" s="30"/>
    </row>
    <row r="757" spans="1:14" s="2" customFormat="1" ht="15" thickBot="1" x14ac:dyDescent="0.35">
      <c r="A757" s="29"/>
      <c r="B757" s="30">
        <f t="shared" si="11"/>
        <v>1</v>
      </c>
      <c r="C757" s="28"/>
      <c r="D757" s="35" t="str">
        <f>IFERROR(VLOOKUP(C757,T_CÓDIGO[#All],4,FALSE),"")</f>
        <v/>
      </c>
      <c r="E757" s="30" t="str">
        <f>IFERROR(VLOOKUP(C757,T_CÓDIGO[#All],6,FALSE),"")</f>
        <v/>
      </c>
      <c r="F757" s="28"/>
      <c r="G757" s="30"/>
      <c r="H757" s="28"/>
      <c r="I757" s="30"/>
      <c r="J757" s="30"/>
      <c r="K757" s="30" t="str">
        <f>IFERROR(VLOOKUP(C757,T_CÓDIGO[#All],3,FALSE),"")</f>
        <v/>
      </c>
      <c r="L757" s="28"/>
      <c r="M757" s="28"/>
      <c r="N757" s="30"/>
    </row>
    <row r="758" spans="1:14" s="2" customFormat="1" ht="15" thickBot="1" x14ac:dyDescent="0.35">
      <c r="A758" s="29"/>
      <c r="B758" s="30">
        <f t="shared" si="11"/>
        <v>1</v>
      </c>
      <c r="C758" s="28"/>
      <c r="D758" s="35" t="str">
        <f>IFERROR(VLOOKUP(C758,T_CÓDIGO[#All],4,FALSE),"")</f>
        <v/>
      </c>
      <c r="E758" s="30" t="str">
        <f>IFERROR(VLOOKUP(C758,T_CÓDIGO[#All],6,FALSE),"")</f>
        <v/>
      </c>
      <c r="F758" s="28"/>
      <c r="G758" s="30"/>
      <c r="H758" s="28"/>
      <c r="I758" s="30"/>
      <c r="J758" s="30"/>
      <c r="K758" s="30" t="str">
        <f>IFERROR(VLOOKUP(C758,T_CÓDIGO[#All],3,FALSE),"")</f>
        <v/>
      </c>
      <c r="L758" s="28"/>
      <c r="M758" s="28"/>
      <c r="N758" s="30"/>
    </row>
    <row r="759" spans="1:14" s="2" customFormat="1" ht="15" thickBot="1" x14ac:dyDescent="0.35">
      <c r="A759" s="29"/>
      <c r="B759" s="30">
        <f t="shared" si="11"/>
        <v>1</v>
      </c>
      <c r="C759" s="28"/>
      <c r="D759" s="35" t="str">
        <f>IFERROR(VLOOKUP(C759,T_CÓDIGO[#All],4,FALSE),"")</f>
        <v/>
      </c>
      <c r="E759" s="30" t="str">
        <f>IFERROR(VLOOKUP(C759,T_CÓDIGO[#All],6,FALSE),"")</f>
        <v/>
      </c>
      <c r="F759" s="28"/>
      <c r="G759" s="30"/>
      <c r="H759" s="28"/>
      <c r="I759" s="30"/>
      <c r="J759" s="30"/>
      <c r="K759" s="30" t="str">
        <f>IFERROR(VLOOKUP(C759,T_CÓDIGO[#All],3,FALSE),"")</f>
        <v/>
      </c>
      <c r="L759" s="28"/>
      <c r="M759" s="28"/>
      <c r="N759" s="30"/>
    </row>
    <row r="760" spans="1:14" s="2" customFormat="1" ht="15" thickBot="1" x14ac:dyDescent="0.35">
      <c r="A760" s="29"/>
      <c r="B760" s="30">
        <f t="shared" si="11"/>
        <v>1</v>
      </c>
      <c r="C760" s="28"/>
      <c r="D760" s="35" t="str">
        <f>IFERROR(VLOOKUP(C760,T_CÓDIGO[#All],4,FALSE),"")</f>
        <v/>
      </c>
      <c r="E760" s="30" t="str">
        <f>IFERROR(VLOOKUP(C760,T_CÓDIGO[#All],6,FALSE),"")</f>
        <v/>
      </c>
      <c r="F760" s="28"/>
      <c r="G760" s="30"/>
      <c r="H760" s="28"/>
      <c r="I760" s="30"/>
      <c r="J760" s="30"/>
      <c r="K760" s="30" t="str">
        <f>IFERROR(VLOOKUP(C760,T_CÓDIGO[#All],3,FALSE),"")</f>
        <v/>
      </c>
      <c r="L760" s="28"/>
      <c r="M760" s="28"/>
      <c r="N760" s="30"/>
    </row>
    <row r="761" spans="1:14" s="2" customFormat="1" ht="15" thickBot="1" x14ac:dyDescent="0.35">
      <c r="A761" s="29"/>
      <c r="B761" s="30">
        <f t="shared" si="11"/>
        <v>1</v>
      </c>
      <c r="C761" s="28"/>
      <c r="D761" s="35" t="str">
        <f>IFERROR(VLOOKUP(C761,T_CÓDIGO[#All],4,FALSE),"")</f>
        <v/>
      </c>
      <c r="E761" s="30" t="str">
        <f>IFERROR(VLOOKUP(C761,T_CÓDIGO[#All],6,FALSE),"")</f>
        <v/>
      </c>
      <c r="F761" s="28"/>
      <c r="G761" s="30"/>
      <c r="H761" s="28"/>
      <c r="I761" s="30"/>
      <c r="J761" s="30"/>
      <c r="K761" s="30" t="str">
        <f>IFERROR(VLOOKUP(C761,T_CÓDIGO[#All],3,FALSE),"")</f>
        <v/>
      </c>
      <c r="L761" s="28"/>
      <c r="M761" s="28"/>
      <c r="N761" s="30"/>
    </row>
    <row r="762" spans="1:14" s="2" customFormat="1" ht="15" thickBot="1" x14ac:dyDescent="0.35">
      <c r="A762" s="29"/>
      <c r="B762" s="30">
        <f t="shared" si="11"/>
        <v>1</v>
      </c>
      <c r="C762" s="28"/>
      <c r="D762" s="35" t="str">
        <f>IFERROR(VLOOKUP(C762,T_CÓDIGO[#All],4,FALSE),"")</f>
        <v/>
      </c>
      <c r="E762" s="30" t="str">
        <f>IFERROR(VLOOKUP(C762,T_CÓDIGO[#All],6,FALSE),"")</f>
        <v/>
      </c>
      <c r="F762" s="28"/>
      <c r="G762" s="30"/>
      <c r="H762" s="28"/>
      <c r="I762" s="30"/>
      <c r="J762" s="30"/>
      <c r="K762" s="30" t="str">
        <f>IFERROR(VLOOKUP(C762,T_CÓDIGO[#All],3,FALSE),"")</f>
        <v/>
      </c>
      <c r="L762" s="28"/>
      <c r="M762" s="28"/>
      <c r="N762" s="30"/>
    </row>
    <row r="763" spans="1:14" s="2" customFormat="1" ht="15" thickBot="1" x14ac:dyDescent="0.35">
      <c r="A763" s="29"/>
      <c r="B763" s="30">
        <f t="shared" si="11"/>
        <v>1</v>
      </c>
      <c r="C763" s="28"/>
      <c r="D763" s="35" t="str">
        <f>IFERROR(VLOOKUP(C763,T_CÓDIGO[#All],4,FALSE),"")</f>
        <v/>
      </c>
      <c r="E763" s="30" t="str">
        <f>IFERROR(VLOOKUP(C763,T_CÓDIGO[#All],6,FALSE),"")</f>
        <v/>
      </c>
      <c r="F763" s="28"/>
      <c r="G763" s="30"/>
      <c r="H763" s="28"/>
      <c r="I763" s="30"/>
      <c r="J763" s="30"/>
      <c r="K763" s="30" t="str">
        <f>IFERROR(VLOOKUP(C763,T_CÓDIGO[#All],3,FALSE),"")</f>
        <v/>
      </c>
      <c r="L763" s="28"/>
      <c r="M763" s="28"/>
      <c r="N763" s="30"/>
    </row>
    <row r="764" spans="1:14" s="2" customFormat="1" ht="15" thickBot="1" x14ac:dyDescent="0.35">
      <c r="A764" s="29"/>
      <c r="B764" s="30">
        <f t="shared" si="11"/>
        <v>1</v>
      </c>
      <c r="C764" s="28"/>
      <c r="D764" s="35" t="str">
        <f>IFERROR(VLOOKUP(C764,T_CÓDIGO[#All],4,FALSE),"")</f>
        <v/>
      </c>
      <c r="E764" s="30" t="str">
        <f>IFERROR(VLOOKUP(C764,T_CÓDIGO[#All],6,FALSE),"")</f>
        <v/>
      </c>
      <c r="F764" s="28"/>
      <c r="G764" s="30"/>
      <c r="H764" s="28"/>
      <c r="I764" s="30"/>
      <c r="J764" s="30"/>
      <c r="K764" s="30" t="str">
        <f>IFERROR(VLOOKUP(C764,T_CÓDIGO[#All],3,FALSE),"")</f>
        <v/>
      </c>
      <c r="L764" s="28"/>
      <c r="M764" s="28"/>
      <c r="N764" s="30"/>
    </row>
    <row r="765" spans="1:14" s="2" customFormat="1" ht="15" thickBot="1" x14ac:dyDescent="0.35">
      <c r="A765" s="29"/>
      <c r="B765" s="30">
        <f t="shared" si="11"/>
        <v>1</v>
      </c>
      <c r="C765" s="28"/>
      <c r="D765" s="35" t="str">
        <f>IFERROR(VLOOKUP(C765,T_CÓDIGO[#All],4,FALSE),"")</f>
        <v/>
      </c>
      <c r="E765" s="30" t="str">
        <f>IFERROR(VLOOKUP(C765,T_CÓDIGO[#All],6,FALSE),"")</f>
        <v/>
      </c>
      <c r="F765" s="28"/>
      <c r="G765" s="30"/>
      <c r="H765" s="28"/>
      <c r="I765" s="30"/>
      <c r="J765" s="30"/>
      <c r="K765" s="30" t="str">
        <f>IFERROR(VLOOKUP(C765,T_CÓDIGO[#All],3,FALSE),"")</f>
        <v/>
      </c>
      <c r="L765" s="28"/>
      <c r="M765" s="28"/>
      <c r="N765" s="30"/>
    </row>
    <row r="766" spans="1:14" s="2" customFormat="1" ht="15" thickBot="1" x14ac:dyDescent="0.35">
      <c r="A766" s="29"/>
      <c r="B766" s="30">
        <f t="shared" si="11"/>
        <v>1</v>
      </c>
      <c r="C766" s="28"/>
      <c r="D766" s="35" t="str">
        <f>IFERROR(VLOOKUP(C766,T_CÓDIGO[#All],4,FALSE),"")</f>
        <v/>
      </c>
      <c r="E766" s="30" t="str">
        <f>IFERROR(VLOOKUP(C766,T_CÓDIGO[#All],6,FALSE),"")</f>
        <v/>
      </c>
      <c r="F766" s="28"/>
      <c r="G766" s="30"/>
      <c r="H766" s="28"/>
      <c r="I766" s="30"/>
      <c r="J766" s="30"/>
      <c r="K766" s="30" t="str">
        <f>IFERROR(VLOOKUP(C766,T_CÓDIGO[#All],3,FALSE),"")</f>
        <v/>
      </c>
      <c r="L766" s="28"/>
      <c r="M766" s="28"/>
      <c r="N766" s="30"/>
    </row>
    <row r="767" spans="1:14" s="2" customFormat="1" ht="15" thickBot="1" x14ac:dyDescent="0.35">
      <c r="A767" s="29"/>
      <c r="B767" s="30">
        <f t="shared" si="11"/>
        <v>1</v>
      </c>
      <c r="C767" s="28"/>
      <c r="D767" s="35" t="str">
        <f>IFERROR(VLOOKUP(C767,T_CÓDIGO[#All],4,FALSE),"")</f>
        <v/>
      </c>
      <c r="E767" s="30" t="str">
        <f>IFERROR(VLOOKUP(C767,T_CÓDIGO[#All],6,FALSE),"")</f>
        <v/>
      </c>
      <c r="F767" s="28"/>
      <c r="G767" s="30"/>
      <c r="H767" s="28"/>
      <c r="I767" s="30"/>
      <c r="J767" s="30"/>
      <c r="K767" s="30" t="str">
        <f>IFERROR(VLOOKUP(C767,T_CÓDIGO[#All],3,FALSE),"")</f>
        <v/>
      </c>
      <c r="L767" s="28"/>
      <c r="M767" s="28"/>
      <c r="N767" s="30"/>
    </row>
    <row r="768" spans="1:14" s="2" customFormat="1" ht="15" thickBot="1" x14ac:dyDescent="0.35">
      <c r="A768" s="29"/>
      <c r="B768" s="30">
        <f t="shared" si="11"/>
        <v>1</v>
      </c>
      <c r="C768" s="28"/>
      <c r="D768" s="35" t="str">
        <f>IFERROR(VLOOKUP(C768,T_CÓDIGO[#All],4,FALSE),"")</f>
        <v/>
      </c>
      <c r="E768" s="30" t="str">
        <f>IFERROR(VLOOKUP(C768,T_CÓDIGO[#All],6,FALSE),"")</f>
        <v/>
      </c>
      <c r="F768" s="28"/>
      <c r="G768" s="30"/>
      <c r="H768" s="28"/>
      <c r="I768" s="30"/>
      <c r="J768" s="30"/>
      <c r="K768" s="30" t="str">
        <f>IFERROR(VLOOKUP(C768,T_CÓDIGO[#All],3,FALSE),"")</f>
        <v/>
      </c>
      <c r="L768" s="28"/>
      <c r="M768" s="28"/>
      <c r="N768" s="30"/>
    </row>
    <row r="769" spans="1:14" s="2" customFormat="1" ht="15" thickBot="1" x14ac:dyDescent="0.35">
      <c r="A769" s="29"/>
      <c r="B769" s="30">
        <f t="shared" si="11"/>
        <v>1</v>
      </c>
      <c r="C769" s="28"/>
      <c r="D769" s="35" t="str">
        <f>IFERROR(VLOOKUP(C769,T_CÓDIGO[#All],4,FALSE),"")</f>
        <v/>
      </c>
      <c r="E769" s="30" t="str">
        <f>IFERROR(VLOOKUP(C769,T_CÓDIGO[#All],6,FALSE),"")</f>
        <v/>
      </c>
      <c r="F769" s="28"/>
      <c r="G769" s="30"/>
      <c r="H769" s="28"/>
      <c r="I769" s="30"/>
      <c r="J769" s="30"/>
      <c r="K769" s="30" t="str">
        <f>IFERROR(VLOOKUP(C769,T_CÓDIGO[#All],3,FALSE),"")</f>
        <v/>
      </c>
      <c r="L769" s="28"/>
      <c r="M769" s="28"/>
      <c r="N769" s="30"/>
    </row>
    <row r="770" spans="1:14" s="2" customFormat="1" ht="15" thickBot="1" x14ac:dyDescent="0.35">
      <c r="A770" s="29"/>
      <c r="B770" s="30">
        <f t="shared" si="11"/>
        <v>1</v>
      </c>
      <c r="C770" s="28"/>
      <c r="D770" s="35" t="str">
        <f>IFERROR(VLOOKUP(C770,T_CÓDIGO[#All],4,FALSE),"")</f>
        <v/>
      </c>
      <c r="E770" s="30" t="str">
        <f>IFERROR(VLOOKUP(C770,T_CÓDIGO[#All],6,FALSE),"")</f>
        <v/>
      </c>
      <c r="F770" s="28"/>
      <c r="G770" s="30"/>
      <c r="H770" s="28"/>
      <c r="I770" s="30"/>
      <c r="J770" s="30"/>
      <c r="K770" s="30" t="str">
        <f>IFERROR(VLOOKUP(C770,T_CÓDIGO[#All],3,FALSE),"")</f>
        <v/>
      </c>
      <c r="L770" s="28"/>
      <c r="M770" s="28"/>
      <c r="N770" s="30"/>
    </row>
    <row r="771" spans="1:14" s="2" customFormat="1" ht="15" thickBot="1" x14ac:dyDescent="0.35">
      <c r="A771" s="29"/>
      <c r="B771" s="30">
        <f t="shared" si="11"/>
        <v>1</v>
      </c>
      <c r="C771" s="28"/>
      <c r="D771" s="35" t="str">
        <f>IFERROR(VLOOKUP(C771,T_CÓDIGO[#All],4,FALSE),"")</f>
        <v/>
      </c>
      <c r="E771" s="30" t="str">
        <f>IFERROR(VLOOKUP(C771,T_CÓDIGO[#All],6,FALSE),"")</f>
        <v/>
      </c>
      <c r="F771" s="28"/>
      <c r="G771" s="30"/>
      <c r="H771" s="28"/>
      <c r="I771" s="30"/>
      <c r="J771" s="30"/>
      <c r="K771" s="30" t="str">
        <f>IFERROR(VLOOKUP(C771,T_CÓDIGO[#All],3,FALSE),"")</f>
        <v/>
      </c>
      <c r="L771" s="28"/>
      <c r="M771" s="28"/>
      <c r="N771" s="30"/>
    </row>
    <row r="772" spans="1:14" s="2" customFormat="1" ht="15" thickBot="1" x14ac:dyDescent="0.35">
      <c r="A772" s="29"/>
      <c r="B772" s="30">
        <f t="shared" si="11"/>
        <v>1</v>
      </c>
      <c r="C772" s="28"/>
      <c r="D772" s="35" t="str">
        <f>IFERROR(VLOOKUP(C772,T_CÓDIGO[#All],4,FALSE),"")</f>
        <v/>
      </c>
      <c r="E772" s="30" t="str">
        <f>IFERROR(VLOOKUP(C772,T_CÓDIGO[#All],6,FALSE),"")</f>
        <v/>
      </c>
      <c r="F772" s="28"/>
      <c r="G772" s="30"/>
      <c r="H772" s="28"/>
      <c r="I772" s="30"/>
      <c r="J772" s="30"/>
      <c r="K772" s="30" t="str">
        <f>IFERROR(VLOOKUP(C772,T_CÓDIGO[#All],3,FALSE),"")</f>
        <v/>
      </c>
      <c r="L772" s="28"/>
      <c r="M772" s="28"/>
      <c r="N772" s="30"/>
    </row>
    <row r="773" spans="1:14" s="2" customFormat="1" ht="15" thickBot="1" x14ac:dyDescent="0.35">
      <c r="A773" s="29"/>
      <c r="B773" s="30">
        <f t="shared" si="11"/>
        <v>1</v>
      </c>
      <c r="C773" s="28"/>
      <c r="D773" s="35" t="str">
        <f>IFERROR(VLOOKUP(C773,T_CÓDIGO[#All],4,FALSE),"")</f>
        <v/>
      </c>
      <c r="E773" s="30" t="str">
        <f>IFERROR(VLOOKUP(C773,T_CÓDIGO[#All],6,FALSE),"")</f>
        <v/>
      </c>
      <c r="F773" s="28"/>
      <c r="G773" s="30"/>
      <c r="H773" s="28"/>
      <c r="I773" s="30"/>
      <c r="J773" s="30"/>
      <c r="K773" s="30" t="str">
        <f>IFERROR(VLOOKUP(C773,T_CÓDIGO[#All],3,FALSE),"")</f>
        <v/>
      </c>
      <c r="L773" s="28"/>
      <c r="M773" s="28"/>
      <c r="N773" s="30"/>
    </row>
    <row r="774" spans="1:14" s="2" customFormat="1" ht="15" thickBot="1" x14ac:dyDescent="0.35">
      <c r="A774" s="29"/>
      <c r="B774" s="30">
        <f t="shared" si="11"/>
        <v>1</v>
      </c>
      <c r="C774" s="28"/>
      <c r="D774" s="35" t="str">
        <f>IFERROR(VLOOKUP(C774,T_CÓDIGO[#All],4,FALSE),"")</f>
        <v/>
      </c>
      <c r="E774" s="30" t="str">
        <f>IFERROR(VLOOKUP(C774,T_CÓDIGO[#All],6,FALSE),"")</f>
        <v/>
      </c>
      <c r="F774" s="28"/>
      <c r="G774" s="30"/>
      <c r="H774" s="28"/>
      <c r="I774" s="30"/>
      <c r="J774" s="30"/>
      <c r="K774" s="30" t="str">
        <f>IFERROR(VLOOKUP(C774,T_CÓDIGO[#All],3,FALSE),"")</f>
        <v/>
      </c>
      <c r="L774" s="28"/>
      <c r="M774" s="28"/>
      <c r="N774" s="30"/>
    </row>
    <row r="775" spans="1:14" s="2" customFormat="1" ht="15" thickBot="1" x14ac:dyDescent="0.35">
      <c r="A775" s="29"/>
      <c r="B775" s="30">
        <f t="shared" si="11"/>
        <v>1</v>
      </c>
      <c r="C775" s="28"/>
      <c r="D775" s="35" t="str">
        <f>IFERROR(VLOOKUP(C775,T_CÓDIGO[#All],4,FALSE),"")</f>
        <v/>
      </c>
      <c r="E775" s="30" t="str">
        <f>IFERROR(VLOOKUP(C775,T_CÓDIGO[#All],6,FALSE),"")</f>
        <v/>
      </c>
      <c r="F775" s="28"/>
      <c r="G775" s="30"/>
      <c r="H775" s="28"/>
      <c r="I775" s="30"/>
      <c r="J775" s="30"/>
      <c r="K775" s="30" t="str">
        <f>IFERROR(VLOOKUP(C775,T_CÓDIGO[#All],3,FALSE),"")</f>
        <v/>
      </c>
      <c r="L775" s="28"/>
      <c r="M775" s="28"/>
      <c r="N775" s="30"/>
    </row>
    <row r="776" spans="1:14" s="2" customFormat="1" ht="15" thickBot="1" x14ac:dyDescent="0.35">
      <c r="A776" s="29"/>
      <c r="B776" s="30">
        <f t="shared" si="11"/>
        <v>1</v>
      </c>
      <c r="C776" s="28"/>
      <c r="D776" s="35" t="str">
        <f>IFERROR(VLOOKUP(C776,T_CÓDIGO[#All],4,FALSE),"")</f>
        <v/>
      </c>
      <c r="E776" s="30" t="str">
        <f>IFERROR(VLOOKUP(C776,T_CÓDIGO[#All],6,FALSE),"")</f>
        <v/>
      </c>
      <c r="F776" s="28"/>
      <c r="G776" s="30"/>
      <c r="H776" s="28"/>
      <c r="I776" s="30"/>
      <c r="J776" s="30"/>
      <c r="K776" s="30" t="str">
        <f>IFERROR(VLOOKUP(C776,T_CÓDIGO[#All],3,FALSE),"")</f>
        <v/>
      </c>
      <c r="L776" s="28"/>
      <c r="M776" s="28"/>
      <c r="N776" s="30"/>
    </row>
    <row r="777" spans="1:14" s="2" customFormat="1" ht="15" thickBot="1" x14ac:dyDescent="0.35">
      <c r="A777" s="29"/>
      <c r="B777" s="30">
        <f t="shared" si="11"/>
        <v>1</v>
      </c>
      <c r="C777" s="28"/>
      <c r="D777" s="35" t="str">
        <f>IFERROR(VLOOKUP(C777,T_CÓDIGO[#All],4,FALSE),"")</f>
        <v/>
      </c>
      <c r="E777" s="30" t="str">
        <f>IFERROR(VLOOKUP(C777,T_CÓDIGO[#All],6,FALSE),"")</f>
        <v/>
      </c>
      <c r="F777" s="28"/>
      <c r="G777" s="30"/>
      <c r="H777" s="28"/>
      <c r="I777" s="30"/>
      <c r="J777" s="30"/>
      <c r="K777" s="30" t="str">
        <f>IFERROR(VLOOKUP(C777,T_CÓDIGO[#All],3,FALSE),"")</f>
        <v/>
      </c>
      <c r="L777" s="28"/>
      <c r="M777" s="28"/>
      <c r="N777" s="30"/>
    </row>
    <row r="778" spans="1:14" s="2" customFormat="1" ht="15" thickBot="1" x14ac:dyDescent="0.35">
      <c r="A778" s="29"/>
      <c r="B778" s="30">
        <f t="shared" ref="B778:B841" si="12">MONTH(A778)</f>
        <v>1</v>
      </c>
      <c r="C778" s="28"/>
      <c r="D778" s="35" t="str">
        <f>IFERROR(VLOOKUP(C778,T_CÓDIGO[#All],4,FALSE),"")</f>
        <v/>
      </c>
      <c r="E778" s="30" t="str">
        <f>IFERROR(VLOOKUP(C778,T_CÓDIGO[#All],6,FALSE),"")</f>
        <v/>
      </c>
      <c r="F778" s="28"/>
      <c r="G778" s="30"/>
      <c r="H778" s="28"/>
      <c r="I778" s="30"/>
      <c r="J778" s="30"/>
      <c r="K778" s="30" t="str">
        <f>IFERROR(VLOOKUP(C778,T_CÓDIGO[#All],3,FALSE),"")</f>
        <v/>
      </c>
      <c r="L778" s="28"/>
      <c r="M778" s="28"/>
      <c r="N778" s="30"/>
    </row>
    <row r="779" spans="1:14" s="2" customFormat="1" ht="15" thickBot="1" x14ac:dyDescent="0.35">
      <c r="A779" s="29"/>
      <c r="B779" s="30">
        <f t="shared" si="12"/>
        <v>1</v>
      </c>
      <c r="C779" s="28"/>
      <c r="D779" s="35" t="str">
        <f>IFERROR(VLOOKUP(C779,T_CÓDIGO[#All],4,FALSE),"")</f>
        <v/>
      </c>
      <c r="E779" s="30" t="str">
        <f>IFERROR(VLOOKUP(C779,T_CÓDIGO[#All],6,FALSE),"")</f>
        <v/>
      </c>
      <c r="F779" s="28"/>
      <c r="G779" s="30"/>
      <c r="H779" s="28"/>
      <c r="I779" s="30"/>
      <c r="J779" s="30"/>
      <c r="K779" s="30" t="str">
        <f>IFERROR(VLOOKUP(C779,T_CÓDIGO[#All],3,FALSE),"")</f>
        <v/>
      </c>
      <c r="L779" s="28"/>
      <c r="M779" s="28"/>
      <c r="N779" s="30"/>
    </row>
    <row r="780" spans="1:14" s="2" customFormat="1" ht="15" thickBot="1" x14ac:dyDescent="0.35">
      <c r="A780" s="29"/>
      <c r="B780" s="30">
        <f t="shared" si="12"/>
        <v>1</v>
      </c>
      <c r="C780" s="28"/>
      <c r="D780" s="35" t="str">
        <f>IFERROR(VLOOKUP(C780,T_CÓDIGO[#All],4,FALSE),"")</f>
        <v/>
      </c>
      <c r="E780" s="30" t="str">
        <f>IFERROR(VLOOKUP(C780,T_CÓDIGO[#All],6,FALSE),"")</f>
        <v/>
      </c>
      <c r="F780" s="28"/>
      <c r="G780" s="30"/>
      <c r="H780" s="28"/>
      <c r="I780" s="30"/>
      <c r="J780" s="30"/>
      <c r="K780" s="30" t="str">
        <f>IFERROR(VLOOKUP(C780,T_CÓDIGO[#All],3,FALSE),"")</f>
        <v/>
      </c>
      <c r="L780" s="28"/>
      <c r="M780" s="28"/>
      <c r="N780" s="30"/>
    </row>
    <row r="781" spans="1:14" s="2" customFormat="1" ht="15" thickBot="1" x14ac:dyDescent="0.35">
      <c r="A781" s="29"/>
      <c r="B781" s="30">
        <f t="shared" si="12"/>
        <v>1</v>
      </c>
      <c r="C781" s="28"/>
      <c r="D781" s="35" t="str">
        <f>IFERROR(VLOOKUP(C781,T_CÓDIGO[#All],4,FALSE),"")</f>
        <v/>
      </c>
      <c r="E781" s="30" t="str">
        <f>IFERROR(VLOOKUP(C781,T_CÓDIGO[#All],6,FALSE),"")</f>
        <v/>
      </c>
      <c r="F781" s="28"/>
      <c r="G781" s="30"/>
      <c r="H781" s="28"/>
      <c r="I781" s="30"/>
      <c r="J781" s="30"/>
      <c r="K781" s="30" t="str">
        <f>IFERROR(VLOOKUP(C781,T_CÓDIGO[#All],3,FALSE),"")</f>
        <v/>
      </c>
      <c r="L781" s="28"/>
      <c r="M781" s="28"/>
      <c r="N781" s="30"/>
    </row>
    <row r="782" spans="1:14" s="2" customFormat="1" ht="15" thickBot="1" x14ac:dyDescent="0.35">
      <c r="A782" s="29"/>
      <c r="B782" s="30">
        <f t="shared" si="12"/>
        <v>1</v>
      </c>
      <c r="C782" s="28"/>
      <c r="D782" s="35" t="str">
        <f>IFERROR(VLOOKUP(C782,T_CÓDIGO[#All],4,FALSE),"")</f>
        <v/>
      </c>
      <c r="E782" s="30" t="str">
        <f>IFERROR(VLOOKUP(C782,T_CÓDIGO[#All],6,FALSE),"")</f>
        <v/>
      </c>
      <c r="F782" s="28"/>
      <c r="G782" s="30"/>
      <c r="H782" s="28"/>
      <c r="I782" s="30"/>
      <c r="J782" s="30"/>
      <c r="K782" s="30" t="str">
        <f>IFERROR(VLOOKUP(C782,T_CÓDIGO[#All],3,FALSE),"")</f>
        <v/>
      </c>
      <c r="L782" s="28"/>
      <c r="M782" s="28"/>
      <c r="N782" s="30"/>
    </row>
    <row r="783" spans="1:14" s="2" customFormat="1" ht="15" thickBot="1" x14ac:dyDescent="0.35">
      <c r="A783" s="29"/>
      <c r="B783" s="30">
        <f t="shared" si="12"/>
        <v>1</v>
      </c>
      <c r="C783" s="28"/>
      <c r="D783" s="35" t="str">
        <f>IFERROR(VLOOKUP(C783,T_CÓDIGO[#All],4,FALSE),"")</f>
        <v/>
      </c>
      <c r="E783" s="30" t="str">
        <f>IFERROR(VLOOKUP(C783,T_CÓDIGO[#All],6,FALSE),"")</f>
        <v/>
      </c>
      <c r="F783" s="28"/>
      <c r="G783" s="30"/>
      <c r="H783" s="28"/>
      <c r="I783" s="30"/>
      <c r="J783" s="30"/>
      <c r="K783" s="30" t="str">
        <f>IFERROR(VLOOKUP(C783,T_CÓDIGO[#All],3,FALSE),"")</f>
        <v/>
      </c>
      <c r="L783" s="28"/>
      <c r="M783" s="28"/>
      <c r="N783" s="30"/>
    </row>
    <row r="784" spans="1:14" s="2" customFormat="1" ht="15" thickBot="1" x14ac:dyDescent="0.35">
      <c r="A784" s="29"/>
      <c r="B784" s="30">
        <f t="shared" si="12"/>
        <v>1</v>
      </c>
      <c r="C784" s="28"/>
      <c r="D784" s="35" t="str">
        <f>IFERROR(VLOOKUP(C784,T_CÓDIGO[#All],4,FALSE),"")</f>
        <v/>
      </c>
      <c r="E784" s="30" t="str">
        <f>IFERROR(VLOOKUP(C784,T_CÓDIGO[#All],6,FALSE),"")</f>
        <v/>
      </c>
      <c r="F784" s="28"/>
      <c r="G784" s="30"/>
      <c r="H784" s="28"/>
      <c r="I784" s="30"/>
      <c r="J784" s="30"/>
      <c r="K784" s="30" t="str">
        <f>IFERROR(VLOOKUP(C784,T_CÓDIGO[#All],3,FALSE),"")</f>
        <v/>
      </c>
      <c r="L784" s="28"/>
      <c r="M784" s="28"/>
      <c r="N784" s="30"/>
    </row>
    <row r="785" spans="1:14" s="2" customFormat="1" ht="15" thickBot="1" x14ac:dyDescent="0.35">
      <c r="A785" s="29"/>
      <c r="B785" s="30">
        <f t="shared" si="12"/>
        <v>1</v>
      </c>
      <c r="C785" s="28"/>
      <c r="D785" s="35" t="str">
        <f>IFERROR(VLOOKUP(C785,T_CÓDIGO[#All],4,FALSE),"")</f>
        <v/>
      </c>
      <c r="E785" s="30" t="str">
        <f>IFERROR(VLOOKUP(C785,T_CÓDIGO[#All],6,FALSE),"")</f>
        <v/>
      </c>
      <c r="F785" s="28"/>
      <c r="G785" s="30"/>
      <c r="H785" s="28"/>
      <c r="I785" s="30"/>
      <c r="J785" s="30"/>
      <c r="K785" s="30" t="str">
        <f>IFERROR(VLOOKUP(C785,T_CÓDIGO[#All],3,FALSE),"")</f>
        <v/>
      </c>
      <c r="L785" s="28"/>
      <c r="M785" s="28"/>
      <c r="N785" s="30"/>
    </row>
    <row r="786" spans="1:14" s="2" customFormat="1" ht="15" thickBot="1" x14ac:dyDescent="0.35">
      <c r="A786" s="29"/>
      <c r="B786" s="30">
        <f t="shared" si="12"/>
        <v>1</v>
      </c>
      <c r="C786" s="28"/>
      <c r="D786" s="35" t="str">
        <f>IFERROR(VLOOKUP(C786,T_CÓDIGO[#All],4,FALSE),"")</f>
        <v/>
      </c>
      <c r="E786" s="30" t="str">
        <f>IFERROR(VLOOKUP(C786,T_CÓDIGO[#All],6,FALSE),"")</f>
        <v/>
      </c>
      <c r="F786" s="28"/>
      <c r="G786" s="30"/>
      <c r="H786" s="28"/>
      <c r="I786" s="30"/>
      <c r="J786" s="30"/>
      <c r="K786" s="30" t="str">
        <f>IFERROR(VLOOKUP(C786,T_CÓDIGO[#All],3,FALSE),"")</f>
        <v/>
      </c>
      <c r="L786" s="28"/>
      <c r="M786" s="28"/>
      <c r="N786" s="30"/>
    </row>
    <row r="787" spans="1:14" s="2" customFormat="1" ht="15" thickBot="1" x14ac:dyDescent="0.35">
      <c r="A787" s="29"/>
      <c r="B787" s="30">
        <f t="shared" si="12"/>
        <v>1</v>
      </c>
      <c r="C787" s="28"/>
      <c r="D787" s="35" t="str">
        <f>IFERROR(VLOOKUP(C787,T_CÓDIGO[#All],4,FALSE),"")</f>
        <v/>
      </c>
      <c r="E787" s="30" t="str">
        <f>IFERROR(VLOOKUP(C787,T_CÓDIGO[#All],6,FALSE),"")</f>
        <v/>
      </c>
      <c r="F787" s="28"/>
      <c r="G787" s="30"/>
      <c r="H787" s="28"/>
      <c r="I787" s="30"/>
      <c r="J787" s="30"/>
      <c r="K787" s="30" t="str">
        <f>IFERROR(VLOOKUP(C787,T_CÓDIGO[#All],3,FALSE),"")</f>
        <v/>
      </c>
      <c r="L787" s="28"/>
      <c r="M787" s="28"/>
      <c r="N787" s="30"/>
    </row>
    <row r="788" spans="1:14" s="2" customFormat="1" ht="15" thickBot="1" x14ac:dyDescent="0.35">
      <c r="A788" s="29"/>
      <c r="B788" s="30">
        <f t="shared" si="12"/>
        <v>1</v>
      </c>
      <c r="C788" s="28"/>
      <c r="D788" s="35" t="str">
        <f>IFERROR(VLOOKUP(C788,T_CÓDIGO[#All],4,FALSE),"")</f>
        <v/>
      </c>
      <c r="E788" s="30" t="str">
        <f>IFERROR(VLOOKUP(C788,T_CÓDIGO[#All],6,FALSE),"")</f>
        <v/>
      </c>
      <c r="F788" s="28"/>
      <c r="G788" s="30"/>
      <c r="H788" s="28"/>
      <c r="I788" s="30"/>
      <c r="J788" s="30"/>
      <c r="K788" s="30" t="str">
        <f>IFERROR(VLOOKUP(C788,T_CÓDIGO[#All],3,FALSE),"")</f>
        <v/>
      </c>
      <c r="L788" s="28"/>
      <c r="M788" s="28"/>
      <c r="N788" s="30"/>
    </row>
    <row r="789" spans="1:14" s="2" customFormat="1" ht="15" thickBot="1" x14ac:dyDescent="0.35">
      <c r="A789" s="29"/>
      <c r="B789" s="30">
        <f t="shared" si="12"/>
        <v>1</v>
      </c>
      <c r="C789" s="28"/>
      <c r="D789" s="35" t="str">
        <f>IFERROR(VLOOKUP(C789,T_CÓDIGO[#All],4,FALSE),"")</f>
        <v/>
      </c>
      <c r="E789" s="30" t="str">
        <f>IFERROR(VLOOKUP(C789,T_CÓDIGO[#All],6,FALSE),"")</f>
        <v/>
      </c>
      <c r="F789" s="28"/>
      <c r="G789" s="30"/>
      <c r="H789" s="28"/>
      <c r="I789" s="30"/>
      <c r="J789" s="30"/>
      <c r="K789" s="30" t="str">
        <f>IFERROR(VLOOKUP(C789,T_CÓDIGO[#All],3,FALSE),"")</f>
        <v/>
      </c>
      <c r="L789" s="28"/>
      <c r="M789" s="28"/>
      <c r="N789" s="30"/>
    </row>
    <row r="790" spans="1:14" s="2" customFormat="1" ht="15" thickBot="1" x14ac:dyDescent="0.35">
      <c r="A790" s="29"/>
      <c r="B790" s="30">
        <f t="shared" si="12"/>
        <v>1</v>
      </c>
      <c r="C790" s="28"/>
      <c r="D790" s="35" t="str">
        <f>IFERROR(VLOOKUP(C790,T_CÓDIGO[#All],4,FALSE),"")</f>
        <v/>
      </c>
      <c r="E790" s="30" t="str">
        <f>IFERROR(VLOOKUP(C790,T_CÓDIGO[#All],6,FALSE),"")</f>
        <v/>
      </c>
      <c r="F790" s="28"/>
      <c r="G790" s="30"/>
      <c r="H790" s="28"/>
      <c r="I790" s="30"/>
      <c r="J790" s="30"/>
      <c r="K790" s="30" t="str">
        <f>IFERROR(VLOOKUP(C790,T_CÓDIGO[#All],3,FALSE),"")</f>
        <v/>
      </c>
      <c r="L790" s="28"/>
      <c r="M790" s="28"/>
      <c r="N790" s="30"/>
    </row>
    <row r="791" spans="1:14" s="2" customFormat="1" ht="15" thickBot="1" x14ac:dyDescent="0.35">
      <c r="A791" s="29"/>
      <c r="B791" s="30">
        <f t="shared" si="12"/>
        <v>1</v>
      </c>
      <c r="C791" s="28"/>
      <c r="D791" s="35" t="str">
        <f>IFERROR(VLOOKUP(C791,T_CÓDIGO[#All],4,FALSE),"")</f>
        <v/>
      </c>
      <c r="E791" s="30" t="str">
        <f>IFERROR(VLOOKUP(C791,T_CÓDIGO[#All],6,FALSE),"")</f>
        <v/>
      </c>
      <c r="F791" s="28"/>
      <c r="G791" s="30"/>
      <c r="H791" s="28"/>
      <c r="I791" s="30"/>
      <c r="J791" s="30"/>
      <c r="K791" s="30" t="str">
        <f>IFERROR(VLOOKUP(C791,T_CÓDIGO[#All],3,FALSE),"")</f>
        <v/>
      </c>
      <c r="L791" s="28"/>
      <c r="M791" s="28"/>
      <c r="N791" s="30"/>
    </row>
    <row r="792" spans="1:14" s="2" customFormat="1" ht="15" thickBot="1" x14ac:dyDescent="0.35">
      <c r="A792" s="29"/>
      <c r="B792" s="30">
        <f t="shared" si="12"/>
        <v>1</v>
      </c>
      <c r="C792" s="28"/>
      <c r="D792" s="35" t="str">
        <f>IFERROR(VLOOKUP(C792,T_CÓDIGO[#All],4,FALSE),"")</f>
        <v/>
      </c>
      <c r="E792" s="30" t="str">
        <f>IFERROR(VLOOKUP(C792,T_CÓDIGO[#All],6,FALSE),"")</f>
        <v/>
      </c>
      <c r="F792" s="28"/>
      <c r="G792" s="30"/>
      <c r="H792" s="28"/>
      <c r="I792" s="30"/>
      <c r="J792" s="30"/>
      <c r="K792" s="30" t="str">
        <f>IFERROR(VLOOKUP(C792,T_CÓDIGO[#All],3,FALSE),"")</f>
        <v/>
      </c>
      <c r="L792" s="28"/>
      <c r="M792" s="28"/>
      <c r="N792" s="30"/>
    </row>
    <row r="793" spans="1:14" s="2" customFormat="1" ht="15" thickBot="1" x14ac:dyDescent="0.35">
      <c r="A793" s="29"/>
      <c r="B793" s="30">
        <f t="shared" si="12"/>
        <v>1</v>
      </c>
      <c r="C793" s="28"/>
      <c r="D793" s="35" t="str">
        <f>IFERROR(VLOOKUP(C793,T_CÓDIGO[#All],4,FALSE),"")</f>
        <v/>
      </c>
      <c r="E793" s="30" t="str">
        <f>IFERROR(VLOOKUP(C793,T_CÓDIGO[#All],6,FALSE),"")</f>
        <v/>
      </c>
      <c r="F793" s="28"/>
      <c r="G793" s="30"/>
      <c r="H793" s="28"/>
      <c r="I793" s="30"/>
      <c r="J793" s="30"/>
      <c r="K793" s="30" t="str">
        <f>IFERROR(VLOOKUP(C793,T_CÓDIGO[#All],3,FALSE),"")</f>
        <v/>
      </c>
      <c r="L793" s="28"/>
      <c r="M793" s="28"/>
      <c r="N793" s="30"/>
    </row>
    <row r="794" spans="1:14" s="2" customFormat="1" ht="15" thickBot="1" x14ac:dyDescent="0.35">
      <c r="A794" s="29"/>
      <c r="B794" s="30">
        <f t="shared" si="12"/>
        <v>1</v>
      </c>
      <c r="C794" s="28"/>
      <c r="D794" s="35" t="str">
        <f>IFERROR(VLOOKUP(C794,T_CÓDIGO[#All],4,FALSE),"")</f>
        <v/>
      </c>
      <c r="E794" s="30" t="str">
        <f>IFERROR(VLOOKUP(C794,T_CÓDIGO[#All],6,FALSE),"")</f>
        <v/>
      </c>
      <c r="F794" s="28"/>
      <c r="G794" s="30"/>
      <c r="H794" s="28"/>
      <c r="I794" s="30"/>
      <c r="J794" s="30"/>
      <c r="K794" s="30" t="str">
        <f>IFERROR(VLOOKUP(C794,T_CÓDIGO[#All],3,FALSE),"")</f>
        <v/>
      </c>
      <c r="L794" s="28"/>
      <c r="M794" s="28"/>
      <c r="N794" s="30"/>
    </row>
    <row r="795" spans="1:14" s="2" customFormat="1" ht="15" thickBot="1" x14ac:dyDescent="0.35">
      <c r="A795" s="29"/>
      <c r="B795" s="30">
        <f t="shared" si="12"/>
        <v>1</v>
      </c>
      <c r="C795" s="28"/>
      <c r="D795" s="35" t="str">
        <f>IFERROR(VLOOKUP(C795,T_CÓDIGO[#All],4,FALSE),"")</f>
        <v/>
      </c>
      <c r="E795" s="30" t="str">
        <f>IFERROR(VLOOKUP(C795,T_CÓDIGO[#All],6,FALSE),"")</f>
        <v/>
      </c>
      <c r="F795" s="28"/>
      <c r="G795" s="30"/>
      <c r="H795" s="28"/>
      <c r="I795" s="30"/>
      <c r="J795" s="30"/>
      <c r="K795" s="30" t="str">
        <f>IFERROR(VLOOKUP(C795,T_CÓDIGO[#All],3,FALSE),"")</f>
        <v/>
      </c>
      <c r="L795" s="28"/>
      <c r="M795" s="28"/>
      <c r="N795" s="30"/>
    </row>
    <row r="796" spans="1:14" s="2" customFormat="1" ht="15" thickBot="1" x14ac:dyDescent="0.35">
      <c r="A796" s="29"/>
      <c r="B796" s="30">
        <f t="shared" si="12"/>
        <v>1</v>
      </c>
      <c r="C796" s="28"/>
      <c r="D796" s="35" t="str">
        <f>IFERROR(VLOOKUP(C796,T_CÓDIGO[#All],4,FALSE),"")</f>
        <v/>
      </c>
      <c r="E796" s="30" t="str">
        <f>IFERROR(VLOOKUP(C796,T_CÓDIGO[#All],6,FALSE),"")</f>
        <v/>
      </c>
      <c r="F796" s="28"/>
      <c r="G796" s="30"/>
      <c r="H796" s="28"/>
      <c r="I796" s="30"/>
      <c r="J796" s="30"/>
      <c r="K796" s="30" t="str">
        <f>IFERROR(VLOOKUP(C796,T_CÓDIGO[#All],3,FALSE),"")</f>
        <v/>
      </c>
      <c r="L796" s="28"/>
      <c r="M796" s="28"/>
      <c r="N796" s="30"/>
    </row>
    <row r="797" spans="1:14" s="2" customFormat="1" ht="15" thickBot="1" x14ac:dyDescent="0.35">
      <c r="A797" s="29"/>
      <c r="B797" s="30">
        <f t="shared" si="12"/>
        <v>1</v>
      </c>
      <c r="C797" s="28"/>
      <c r="D797" s="35" t="str">
        <f>IFERROR(VLOOKUP(C797,T_CÓDIGO[#All],4,FALSE),"")</f>
        <v/>
      </c>
      <c r="E797" s="30" t="str">
        <f>IFERROR(VLOOKUP(C797,T_CÓDIGO[#All],6,FALSE),"")</f>
        <v/>
      </c>
      <c r="F797" s="28"/>
      <c r="G797" s="30"/>
      <c r="H797" s="28"/>
      <c r="I797" s="30"/>
      <c r="J797" s="30"/>
      <c r="K797" s="30" t="str">
        <f>IFERROR(VLOOKUP(C797,T_CÓDIGO[#All],3,FALSE),"")</f>
        <v/>
      </c>
      <c r="L797" s="28"/>
      <c r="M797" s="28"/>
      <c r="N797" s="30"/>
    </row>
    <row r="798" spans="1:14" s="2" customFormat="1" ht="15" thickBot="1" x14ac:dyDescent="0.35">
      <c r="A798" s="29"/>
      <c r="B798" s="30">
        <f t="shared" si="12"/>
        <v>1</v>
      </c>
      <c r="C798" s="28"/>
      <c r="D798" s="35" t="str">
        <f>IFERROR(VLOOKUP(C798,T_CÓDIGO[#All],4,FALSE),"")</f>
        <v/>
      </c>
      <c r="E798" s="30" t="str">
        <f>IFERROR(VLOOKUP(C798,T_CÓDIGO[#All],6,FALSE),"")</f>
        <v/>
      </c>
      <c r="F798" s="28"/>
      <c r="G798" s="30"/>
      <c r="H798" s="28"/>
      <c r="I798" s="30"/>
      <c r="J798" s="30"/>
      <c r="K798" s="30" t="str">
        <f>IFERROR(VLOOKUP(C798,T_CÓDIGO[#All],3,FALSE),"")</f>
        <v/>
      </c>
      <c r="L798" s="28"/>
      <c r="M798" s="28"/>
      <c r="N798" s="30"/>
    </row>
    <row r="799" spans="1:14" s="2" customFormat="1" ht="15" thickBot="1" x14ac:dyDescent="0.35">
      <c r="A799" s="29"/>
      <c r="B799" s="30">
        <f t="shared" si="12"/>
        <v>1</v>
      </c>
      <c r="C799" s="28"/>
      <c r="D799" s="35" t="str">
        <f>IFERROR(VLOOKUP(C799,T_CÓDIGO[#All],4,FALSE),"")</f>
        <v/>
      </c>
      <c r="E799" s="30" t="str">
        <f>IFERROR(VLOOKUP(C799,T_CÓDIGO[#All],6,FALSE),"")</f>
        <v/>
      </c>
      <c r="F799" s="28"/>
      <c r="G799" s="30"/>
      <c r="H799" s="28"/>
      <c r="I799" s="30"/>
      <c r="J799" s="30"/>
      <c r="K799" s="30" t="str">
        <f>IFERROR(VLOOKUP(C799,T_CÓDIGO[#All],3,FALSE),"")</f>
        <v/>
      </c>
      <c r="L799" s="28"/>
      <c r="M799" s="28"/>
      <c r="N799" s="30"/>
    </row>
    <row r="800" spans="1:14" s="2" customFormat="1" ht="15" thickBot="1" x14ac:dyDescent="0.35">
      <c r="A800" s="29"/>
      <c r="B800" s="30">
        <f t="shared" si="12"/>
        <v>1</v>
      </c>
      <c r="C800" s="28"/>
      <c r="D800" s="35" t="str">
        <f>IFERROR(VLOOKUP(C800,T_CÓDIGO[#All],4,FALSE),"")</f>
        <v/>
      </c>
      <c r="E800" s="30" t="str">
        <f>IFERROR(VLOOKUP(C800,T_CÓDIGO[#All],6,FALSE),"")</f>
        <v/>
      </c>
      <c r="F800" s="28"/>
      <c r="G800" s="30"/>
      <c r="H800" s="28"/>
      <c r="I800" s="30"/>
      <c r="J800" s="30"/>
      <c r="K800" s="30" t="str">
        <f>IFERROR(VLOOKUP(C800,T_CÓDIGO[#All],3,FALSE),"")</f>
        <v/>
      </c>
      <c r="L800" s="28"/>
      <c r="M800" s="28"/>
      <c r="N800" s="30"/>
    </row>
    <row r="801" spans="1:14" s="2" customFormat="1" ht="15" thickBot="1" x14ac:dyDescent="0.35">
      <c r="A801" s="29"/>
      <c r="B801" s="30">
        <f t="shared" si="12"/>
        <v>1</v>
      </c>
      <c r="C801" s="28"/>
      <c r="D801" s="35" t="str">
        <f>IFERROR(VLOOKUP(C801,T_CÓDIGO[#All],4,FALSE),"")</f>
        <v/>
      </c>
      <c r="E801" s="30" t="str">
        <f>IFERROR(VLOOKUP(C801,T_CÓDIGO[#All],6,FALSE),"")</f>
        <v/>
      </c>
      <c r="F801" s="28"/>
      <c r="G801" s="30"/>
      <c r="H801" s="28"/>
      <c r="I801" s="30"/>
      <c r="J801" s="30"/>
      <c r="K801" s="30" t="str">
        <f>IFERROR(VLOOKUP(C801,T_CÓDIGO[#All],3,FALSE),"")</f>
        <v/>
      </c>
      <c r="L801" s="28"/>
      <c r="M801" s="28"/>
      <c r="N801" s="30"/>
    </row>
    <row r="802" spans="1:14" s="2" customFormat="1" ht="15" thickBot="1" x14ac:dyDescent="0.35">
      <c r="A802" s="29"/>
      <c r="B802" s="30">
        <f t="shared" si="12"/>
        <v>1</v>
      </c>
      <c r="C802" s="28"/>
      <c r="D802" s="35" t="str">
        <f>IFERROR(VLOOKUP(C802,T_CÓDIGO[#All],4,FALSE),"")</f>
        <v/>
      </c>
      <c r="E802" s="30" t="str">
        <f>IFERROR(VLOOKUP(C802,T_CÓDIGO[#All],6,FALSE),"")</f>
        <v/>
      </c>
      <c r="F802" s="28"/>
      <c r="G802" s="30"/>
      <c r="H802" s="28"/>
      <c r="I802" s="30"/>
      <c r="J802" s="30"/>
      <c r="K802" s="30" t="str">
        <f>IFERROR(VLOOKUP(C802,T_CÓDIGO[#All],3,FALSE),"")</f>
        <v/>
      </c>
      <c r="L802" s="28"/>
      <c r="M802" s="28"/>
      <c r="N802" s="30"/>
    </row>
    <row r="803" spans="1:14" s="2" customFormat="1" ht="15" thickBot="1" x14ac:dyDescent="0.35">
      <c r="A803" s="29"/>
      <c r="B803" s="30">
        <f t="shared" si="12"/>
        <v>1</v>
      </c>
      <c r="C803" s="28"/>
      <c r="D803" s="35" t="str">
        <f>IFERROR(VLOOKUP(C803,T_CÓDIGO[#All],4,FALSE),"")</f>
        <v/>
      </c>
      <c r="E803" s="30" t="str">
        <f>IFERROR(VLOOKUP(C803,T_CÓDIGO[#All],6,FALSE),"")</f>
        <v/>
      </c>
      <c r="F803" s="28"/>
      <c r="G803" s="30"/>
      <c r="H803" s="28"/>
      <c r="I803" s="30"/>
      <c r="J803" s="30"/>
      <c r="K803" s="30" t="str">
        <f>IFERROR(VLOOKUP(C803,T_CÓDIGO[#All],3,FALSE),"")</f>
        <v/>
      </c>
      <c r="L803" s="28"/>
      <c r="M803" s="28"/>
      <c r="N803" s="30"/>
    </row>
    <row r="804" spans="1:14" s="2" customFormat="1" ht="15" thickBot="1" x14ac:dyDescent="0.35">
      <c r="A804" s="29"/>
      <c r="B804" s="30">
        <f t="shared" si="12"/>
        <v>1</v>
      </c>
      <c r="C804" s="28"/>
      <c r="D804" s="35" t="str">
        <f>IFERROR(VLOOKUP(C804,T_CÓDIGO[#All],4,FALSE),"")</f>
        <v/>
      </c>
      <c r="E804" s="30" t="str">
        <f>IFERROR(VLOOKUP(C804,T_CÓDIGO[#All],6,FALSE),"")</f>
        <v/>
      </c>
      <c r="F804" s="28"/>
      <c r="G804" s="30"/>
      <c r="H804" s="28"/>
      <c r="I804" s="30"/>
      <c r="J804" s="30"/>
      <c r="K804" s="30" t="str">
        <f>IFERROR(VLOOKUP(C804,T_CÓDIGO[#All],3,FALSE),"")</f>
        <v/>
      </c>
      <c r="L804" s="28"/>
      <c r="M804" s="28"/>
      <c r="N804" s="30"/>
    </row>
    <row r="805" spans="1:14" s="2" customFormat="1" ht="15" thickBot="1" x14ac:dyDescent="0.35">
      <c r="A805" s="29"/>
      <c r="B805" s="30">
        <f t="shared" si="12"/>
        <v>1</v>
      </c>
      <c r="C805" s="28"/>
      <c r="D805" s="35" t="str">
        <f>IFERROR(VLOOKUP(C805,T_CÓDIGO[#All],4,FALSE),"")</f>
        <v/>
      </c>
      <c r="E805" s="30" t="str">
        <f>IFERROR(VLOOKUP(C805,T_CÓDIGO[#All],6,FALSE),"")</f>
        <v/>
      </c>
      <c r="F805" s="28"/>
      <c r="G805" s="30"/>
      <c r="H805" s="28"/>
      <c r="I805" s="30"/>
      <c r="J805" s="30"/>
      <c r="K805" s="30" t="str">
        <f>IFERROR(VLOOKUP(C805,T_CÓDIGO[#All],3,FALSE),"")</f>
        <v/>
      </c>
      <c r="L805" s="28"/>
      <c r="M805" s="28"/>
      <c r="N805" s="30"/>
    </row>
    <row r="806" spans="1:14" s="2" customFormat="1" ht="15" thickBot="1" x14ac:dyDescent="0.35">
      <c r="A806" s="29"/>
      <c r="B806" s="30">
        <f t="shared" si="12"/>
        <v>1</v>
      </c>
      <c r="C806" s="28"/>
      <c r="D806" s="35" t="str">
        <f>IFERROR(VLOOKUP(C806,T_CÓDIGO[#All],4,FALSE),"")</f>
        <v/>
      </c>
      <c r="E806" s="30" t="str">
        <f>IFERROR(VLOOKUP(C806,T_CÓDIGO[#All],6,FALSE),"")</f>
        <v/>
      </c>
      <c r="F806" s="28"/>
      <c r="G806" s="30"/>
      <c r="H806" s="28"/>
      <c r="I806" s="30"/>
      <c r="J806" s="30"/>
      <c r="K806" s="30" t="str">
        <f>IFERROR(VLOOKUP(C806,T_CÓDIGO[#All],3,FALSE),"")</f>
        <v/>
      </c>
      <c r="L806" s="28"/>
      <c r="M806" s="28"/>
      <c r="N806" s="30"/>
    </row>
    <row r="807" spans="1:14" s="2" customFormat="1" ht="15" thickBot="1" x14ac:dyDescent="0.35">
      <c r="A807" s="29"/>
      <c r="B807" s="30">
        <f t="shared" si="12"/>
        <v>1</v>
      </c>
      <c r="C807" s="28"/>
      <c r="D807" s="35" t="str">
        <f>IFERROR(VLOOKUP(C807,T_CÓDIGO[#All],4,FALSE),"")</f>
        <v/>
      </c>
      <c r="E807" s="30" t="str">
        <f>IFERROR(VLOOKUP(C807,T_CÓDIGO[#All],6,FALSE),"")</f>
        <v/>
      </c>
      <c r="F807" s="28"/>
      <c r="G807" s="30"/>
      <c r="H807" s="28"/>
      <c r="I807" s="30"/>
      <c r="J807" s="30"/>
      <c r="K807" s="30" t="str">
        <f>IFERROR(VLOOKUP(C807,T_CÓDIGO[#All],3,FALSE),"")</f>
        <v/>
      </c>
      <c r="L807" s="28"/>
      <c r="M807" s="28"/>
      <c r="N807" s="30"/>
    </row>
    <row r="808" spans="1:14" s="2" customFormat="1" ht="15" thickBot="1" x14ac:dyDescent="0.35">
      <c r="A808" s="29"/>
      <c r="B808" s="30">
        <f t="shared" si="12"/>
        <v>1</v>
      </c>
      <c r="C808" s="28"/>
      <c r="D808" s="35" t="str">
        <f>IFERROR(VLOOKUP(C808,T_CÓDIGO[#All],4,FALSE),"")</f>
        <v/>
      </c>
      <c r="E808" s="30" t="str">
        <f>IFERROR(VLOOKUP(C808,T_CÓDIGO[#All],6,FALSE),"")</f>
        <v/>
      </c>
      <c r="F808" s="28"/>
      <c r="G808" s="30"/>
      <c r="H808" s="28"/>
      <c r="I808" s="30"/>
      <c r="J808" s="30"/>
      <c r="K808" s="30" t="str">
        <f>IFERROR(VLOOKUP(C808,T_CÓDIGO[#All],3,FALSE),"")</f>
        <v/>
      </c>
      <c r="L808" s="28"/>
      <c r="M808" s="28"/>
      <c r="N808" s="30"/>
    </row>
    <row r="809" spans="1:14" s="2" customFormat="1" ht="15" thickBot="1" x14ac:dyDescent="0.35">
      <c r="A809" s="29"/>
      <c r="B809" s="30">
        <f t="shared" si="12"/>
        <v>1</v>
      </c>
      <c r="C809" s="28"/>
      <c r="D809" s="35" t="str">
        <f>IFERROR(VLOOKUP(C809,T_CÓDIGO[#All],4,FALSE),"")</f>
        <v/>
      </c>
      <c r="E809" s="30" t="str">
        <f>IFERROR(VLOOKUP(C809,T_CÓDIGO[#All],6,FALSE),"")</f>
        <v/>
      </c>
      <c r="F809" s="28"/>
      <c r="G809" s="30"/>
      <c r="H809" s="28"/>
      <c r="I809" s="30"/>
      <c r="J809" s="30"/>
      <c r="K809" s="30" t="str">
        <f>IFERROR(VLOOKUP(C809,T_CÓDIGO[#All],3,FALSE),"")</f>
        <v/>
      </c>
      <c r="L809" s="28"/>
      <c r="M809" s="28"/>
      <c r="N809" s="30"/>
    </row>
    <row r="810" spans="1:14" s="2" customFormat="1" ht="15" thickBot="1" x14ac:dyDescent="0.35">
      <c r="A810" s="29"/>
      <c r="B810" s="30">
        <f t="shared" si="12"/>
        <v>1</v>
      </c>
      <c r="C810" s="28"/>
      <c r="D810" s="35" t="str">
        <f>IFERROR(VLOOKUP(C810,T_CÓDIGO[#All],4,FALSE),"")</f>
        <v/>
      </c>
      <c r="E810" s="30" t="str">
        <f>IFERROR(VLOOKUP(C810,T_CÓDIGO[#All],6,FALSE),"")</f>
        <v/>
      </c>
      <c r="F810" s="28"/>
      <c r="G810" s="30"/>
      <c r="H810" s="28"/>
      <c r="I810" s="30"/>
      <c r="J810" s="30"/>
      <c r="K810" s="30" t="str">
        <f>IFERROR(VLOOKUP(C810,T_CÓDIGO[#All],3,FALSE),"")</f>
        <v/>
      </c>
      <c r="L810" s="28"/>
      <c r="M810" s="28"/>
      <c r="N810" s="30"/>
    </row>
    <row r="811" spans="1:14" s="2" customFormat="1" ht="15" thickBot="1" x14ac:dyDescent="0.35">
      <c r="A811" s="29"/>
      <c r="B811" s="30">
        <f t="shared" si="12"/>
        <v>1</v>
      </c>
      <c r="C811" s="28"/>
      <c r="D811" s="35" t="str">
        <f>IFERROR(VLOOKUP(C811,T_CÓDIGO[#All],4,FALSE),"")</f>
        <v/>
      </c>
      <c r="E811" s="30" t="str">
        <f>IFERROR(VLOOKUP(C811,T_CÓDIGO[#All],6,FALSE),"")</f>
        <v/>
      </c>
      <c r="F811" s="28"/>
      <c r="G811" s="30"/>
      <c r="H811" s="28"/>
      <c r="I811" s="30"/>
      <c r="J811" s="30"/>
      <c r="K811" s="30" t="str">
        <f>IFERROR(VLOOKUP(C811,T_CÓDIGO[#All],3,FALSE),"")</f>
        <v/>
      </c>
      <c r="L811" s="28"/>
      <c r="M811" s="28"/>
      <c r="N811" s="30"/>
    </row>
    <row r="812" spans="1:14" s="2" customFormat="1" ht="15" thickBot="1" x14ac:dyDescent="0.35">
      <c r="A812" s="29"/>
      <c r="B812" s="30">
        <f t="shared" si="12"/>
        <v>1</v>
      </c>
      <c r="C812" s="28"/>
      <c r="D812" s="35" t="str">
        <f>IFERROR(VLOOKUP(C812,T_CÓDIGO[#All],4,FALSE),"")</f>
        <v/>
      </c>
      <c r="E812" s="30" t="str">
        <f>IFERROR(VLOOKUP(C812,T_CÓDIGO[#All],6,FALSE),"")</f>
        <v/>
      </c>
      <c r="F812" s="28"/>
      <c r="G812" s="30"/>
      <c r="H812" s="28"/>
      <c r="I812" s="30"/>
      <c r="J812" s="30"/>
      <c r="K812" s="30" t="str">
        <f>IFERROR(VLOOKUP(C812,T_CÓDIGO[#All],3,FALSE),"")</f>
        <v/>
      </c>
      <c r="L812" s="28"/>
      <c r="M812" s="28"/>
      <c r="N812" s="30"/>
    </row>
    <row r="813" spans="1:14" s="2" customFormat="1" ht="15" thickBot="1" x14ac:dyDescent="0.35">
      <c r="A813" s="29"/>
      <c r="B813" s="30">
        <f t="shared" si="12"/>
        <v>1</v>
      </c>
      <c r="C813" s="28"/>
      <c r="D813" s="35" t="str">
        <f>IFERROR(VLOOKUP(C813,T_CÓDIGO[#All],4,FALSE),"")</f>
        <v/>
      </c>
      <c r="E813" s="30" t="str">
        <f>IFERROR(VLOOKUP(C813,T_CÓDIGO[#All],6,FALSE),"")</f>
        <v/>
      </c>
      <c r="F813" s="28"/>
      <c r="G813" s="30"/>
      <c r="H813" s="28"/>
      <c r="I813" s="30"/>
      <c r="J813" s="30"/>
      <c r="K813" s="30" t="str">
        <f>IFERROR(VLOOKUP(C813,T_CÓDIGO[#All],3,FALSE),"")</f>
        <v/>
      </c>
      <c r="L813" s="28"/>
      <c r="M813" s="28"/>
      <c r="N813" s="30"/>
    </row>
    <row r="814" spans="1:14" s="2" customFormat="1" ht="15" thickBot="1" x14ac:dyDescent="0.35">
      <c r="A814" s="29"/>
      <c r="B814" s="30">
        <f t="shared" si="12"/>
        <v>1</v>
      </c>
      <c r="C814" s="28"/>
      <c r="D814" s="35" t="str">
        <f>IFERROR(VLOOKUP(C814,T_CÓDIGO[#All],4,FALSE),"")</f>
        <v/>
      </c>
      <c r="E814" s="30" t="str">
        <f>IFERROR(VLOOKUP(C814,T_CÓDIGO[#All],6,FALSE),"")</f>
        <v/>
      </c>
      <c r="F814" s="28"/>
      <c r="G814" s="30"/>
      <c r="H814" s="28"/>
      <c r="I814" s="30"/>
      <c r="J814" s="30"/>
      <c r="K814" s="30" t="str">
        <f>IFERROR(VLOOKUP(C814,T_CÓDIGO[#All],3,FALSE),"")</f>
        <v/>
      </c>
      <c r="L814" s="28"/>
      <c r="M814" s="28"/>
      <c r="N814" s="30"/>
    </row>
    <row r="815" spans="1:14" s="2" customFormat="1" ht="15" thickBot="1" x14ac:dyDescent="0.35">
      <c r="A815" s="29"/>
      <c r="B815" s="30">
        <f t="shared" si="12"/>
        <v>1</v>
      </c>
      <c r="C815" s="28"/>
      <c r="D815" s="35" t="str">
        <f>IFERROR(VLOOKUP(C815,T_CÓDIGO[#All],4,FALSE),"")</f>
        <v/>
      </c>
      <c r="E815" s="30" t="str">
        <f>IFERROR(VLOOKUP(C815,T_CÓDIGO[#All],6,FALSE),"")</f>
        <v/>
      </c>
      <c r="F815" s="28"/>
      <c r="G815" s="30"/>
      <c r="H815" s="28"/>
      <c r="I815" s="30"/>
      <c r="J815" s="30"/>
      <c r="K815" s="30" t="str">
        <f>IFERROR(VLOOKUP(C815,T_CÓDIGO[#All],3,FALSE),"")</f>
        <v/>
      </c>
      <c r="L815" s="28"/>
      <c r="M815" s="28"/>
      <c r="N815" s="30"/>
    </row>
    <row r="816" spans="1:14" s="2" customFormat="1" ht="15" thickBot="1" x14ac:dyDescent="0.35">
      <c r="A816" s="29"/>
      <c r="B816" s="30">
        <f t="shared" si="12"/>
        <v>1</v>
      </c>
      <c r="C816" s="28"/>
      <c r="D816" s="35" t="str">
        <f>IFERROR(VLOOKUP(C816,T_CÓDIGO[#All],4,FALSE),"")</f>
        <v/>
      </c>
      <c r="E816" s="30" t="str">
        <f>IFERROR(VLOOKUP(C816,T_CÓDIGO[#All],6,FALSE),"")</f>
        <v/>
      </c>
      <c r="F816" s="28"/>
      <c r="G816" s="30"/>
      <c r="H816" s="28"/>
      <c r="I816" s="30"/>
      <c r="J816" s="30"/>
      <c r="K816" s="30" t="str">
        <f>IFERROR(VLOOKUP(C816,T_CÓDIGO[#All],3,FALSE),"")</f>
        <v/>
      </c>
      <c r="L816" s="28"/>
      <c r="M816" s="28"/>
      <c r="N816" s="30"/>
    </row>
    <row r="817" spans="1:14" s="2" customFormat="1" ht="15" thickBot="1" x14ac:dyDescent="0.35">
      <c r="A817" s="29"/>
      <c r="B817" s="30">
        <f t="shared" si="12"/>
        <v>1</v>
      </c>
      <c r="C817" s="28"/>
      <c r="D817" s="35" t="str">
        <f>IFERROR(VLOOKUP(C817,T_CÓDIGO[#All],4,FALSE),"")</f>
        <v/>
      </c>
      <c r="E817" s="30" t="str">
        <f>IFERROR(VLOOKUP(C817,T_CÓDIGO[#All],6,FALSE),"")</f>
        <v/>
      </c>
      <c r="F817" s="28"/>
      <c r="G817" s="30"/>
      <c r="H817" s="28"/>
      <c r="I817" s="30"/>
      <c r="J817" s="30"/>
      <c r="K817" s="30" t="str">
        <f>IFERROR(VLOOKUP(C817,T_CÓDIGO[#All],3,FALSE),"")</f>
        <v/>
      </c>
      <c r="L817" s="28"/>
      <c r="M817" s="28"/>
      <c r="N817" s="30"/>
    </row>
    <row r="818" spans="1:14" s="2" customFormat="1" ht="15" thickBot="1" x14ac:dyDescent="0.35">
      <c r="A818" s="29"/>
      <c r="B818" s="30">
        <f t="shared" si="12"/>
        <v>1</v>
      </c>
      <c r="C818" s="28"/>
      <c r="D818" s="35" t="str">
        <f>IFERROR(VLOOKUP(C818,T_CÓDIGO[#All],4,FALSE),"")</f>
        <v/>
      </c>
      <c r="E818" s="30" t="str">
        <f>IFERROR(VLOOKUP(C818,T_CÓDIGO[#All],6,FALSE),"")</f>
        <v/>
      </c>
      <c r="F818" s="28"/>
      <c r="G818" s="30"/>
      <c r="H818" s="28"/>
      <c r="I818" s="30"/>
      <c r="J818" s="30"/>
      <c r="K818" s="30" t="str">
        <f>IFERROR(VLOOKUP(C818,T_CÓDIGO[#All],3,FALSE),"")</f>
        <v/>
      </c>
      <c r="L818" s="28"/>
      <c r="M818" s="28"/>
      <c r="N818" s="30"/>
    </row>
    <row r="819" spans="1:14" s="2" customFormat="1" ht="15" thickBot="1" x14ac:dyDescent="0.35">
      <c r="A819" s="29"/>
      <c r="B819" s="30">
        <f t="shared" si="12"/>
        <v>1</v>
      </c>
      <c r="C819" s="28"/>
      <c r="D819" s="35" t="str">
        <f>IFERROR(VLOOKUP(C819,T_CÓDIGO[#All],4,FALSE),"")</f>
        <v/>
      </c>
      <c r="E819" s="30" t="str">
        <f>IFERROR(VLOOKUP(C819,T_CÓDIGO[#All],6,FALSE),"")</f>
        <v/>
      </c>
      <c r="F819" s="28"/>
      <c r="G819" s="30"/>
      <c r="H819" s="28"/>
      <c r="I819" s="30"/>
      <c r="J819" s="30"/>
      <c r="K819" s="30" t="str">
        <f>IFERROR(VLOOKUP(C819,T_CÓDIGO[#All],3,FALSE),"")</f>
        <v/>
      </c>
      <c r="L819" s="28"/>
      <c r="M819" s="28"/>
      <c r="N819" s="30"/>
    </row>
    <row r="820" spans="1:14" s="2" customFormat="1" ht="15" thickBot="1" x14ac:dyDescent="0.35">
      <c r="A820" s="29"/>
      <c r="B820" s="30">
        <f t="shared" si="12"/>
        <v>1</v>
      </c>
      <c r="C820" s="28"/>
      <c r="D820" s="35" t="str">
        <f>IFERROR(VLOOKUP(C820,T_CÓDIGO[#All],4,FALSE),"")</f>
        <v/>
      </c>
      <c r="E820" s="30" t="str">
        <f>IFERROR(VLOOKUP(C820,T_CÓDIGO[#All],6,FALSE),"")</f>
        <v/>
      </c>
      <c r="F820" s="28"/>
      <c r="G820" s="30"/>
      <c r="H820" s="28"/>
      <c r="I820" s="30"/>
      <c r="J820" s="30"/>
      <c r="K820" s="30" t="str">
        <f>IFERROR(VLOOKUP(C820,T_CÓDIGO[#All],3,FALSE),"")</f>
        <v/>
      </c>
      <c r="L820" s="28"/>
      <c r="M820" s="28"/>
      <c r="N820" s="30"/>
    </row>
    <row r="821" spans="1:14" s="2" customFormat="1" ht="15" thickBot="1" x14ac:dyDescent="0.35">
      <c r="A821" s="29"/>
      <c r="B821" s="30">
        <f t="shared" si="12"/>
        <v>1</v>
      </c>
      <c r="C821" s="28"/>
      <c r="D821" s="35" t="str">
        <f>IFERROR(VLOOKUP(C821,T_CÓDIGO[#All],4,FALSE),"")</f>
        <v/>
      </c>
      <c r="E821" s="30" t="str">
        <f>IFERROR(VLOOKUP(C821,T_CÓDIGO[#All],6,FALSE),"")</f>
        <v/>
      </c>
      <c r="F821" s="28"/>
      <c r="G821" s="30"/>
      <c r="H821" s="28"/>
      <c r="I821" s="30"/>
      <c r="J821" s="30"/>
      <c r="K821" s="30" t="str">
        <f>IFERROR(VLOOKUP(C821,T_CÓDIGO[#All],3,FALSE),"")</f>
        <v/>
      </c>
      <c r="L821" s="28"/>
      <c r="M821" s="28"/>
      <c r="N821" s="30"/>
    </row>
    <row r="822" spans="1:14" s="2" customFormat="1" ht="15" thickBot="1" x14ac:dyDescent="0.35">
      <c r="A822" s="29"/>
      <c r="B822" s="30">
        <f t="shared" si="12"/>
        <v>1</v>
      </c>
      <c r="C822" s="28"/>
      <c r="D822" s="35" t="str">
        <f>IFERROR(VLOOKUP(C822,T_CÓDIGO[#All],4,FALSE),"")</f>
        <v/>
      </c>
      <c r="E822" s="30" t="str">
        <f>IFERROR(VLOOKUP(C822,T_CÓDIGO[#All],6,FALSE),"")</f>
        <v/>
      </c>
      <c r="F822" s="28"/>
      <c r="G822" s="30"/>
      <c r="H822" s="28"/>
      <c r="I822" s="30"/>
      <c r="J822" s="30"/>
      <c r="K822" s="30" t="str">
        <f>IFERROR(VLOOKUP(C822,T_CÓDIGO[#All],3,FALSE),"")</f>
        <v/>
      </c>
      <c r="L822" s="28"/>
      <c r="M822" s="28"/>
      <c r="N822" s="30"/>
    </row>
    <row r="823" spans="1:14" s="2" customFormat="1" ht="15" thickBot="1" x14ac:dyDescent="0.35">
      <c r="A823" s="29"/>
      <c r="B823" s="30">
        <f t="shared" si="12"/>
        <v>1</v>
      </c>
      <c r="C823" s="28"/>
      <c r="D823" s="35" t="str">
        <f>IFERROR(VLOOKUP(C823,T_CÓDIGO[#All],4,FALSE),"")</f>
        <v/>
      </c>
      <c r="E823" s="30" t="str">
        <f>IFERROR(VLOOKUP(C823,T_CÓDIGO[#All],6,FALSE),"")</f>
        <v/>
      </c>
      <c r="F823" s="28"/>
      <c r="G823" s="30"/>
      <c r="H823" s="28"/>
      <c r="I823" s="30"/>
      <c r="J823" s="30"/>
      <c r="K823" s="30" t="str">
        <f>IFERROR(VLOOKUP(C823,T_CÓDIGO[#All],3,FALSE),"")</f>
        <v/>
      </c>
      <c r="L823" s="28"/>
      <c r="M823" s="28"/>
      <c r="N823" s="30"/>
    </row>
    <row r="824" spans="1:14" s="2" customFormat="1" ht="15" thickBot="1" x14ac:dyDescent="0.35">
      <c r="A824" s="29"/>
      <c r="B824" s="30">
        <f t="shared" si="12"/>
        <v>1</v>
      </c>
      <c r="C824" s="28"/>
      <c r="D824" s="35" t="str">
        <f>IFERROR(VLOOKUP(C824,T_CÓDIGO[#All],4,FALSE),"")</f>
        <v/>
      </c>
      <c r="E824" s="30" t="str">
        <f>IFERROR(VLOOKUP(C824,T_CÓDIGO[#All],6,FALSE),"")</f>
        <v/>
      </c>
      <c r="F824" s="28"/>
      <c r="G824" s="30"/>
      <c r="H824" s="28"/>
      <c r="I824" s="30"/>
      <c r="J824" s="30"/>
      <c r="K824" s="30" t="str">
        <f>IFERROR(VLOOKUP(C824,T_CÓDIGO[#All],3,FALSE),"")</f>
        <v/>
      </c>
      <c r="L824" s="28"/>
      <c r="M824" s="28"/>
      <c r="N824" s="30"/>
    </row>
    <row r="825" spans="1:14" s="2" customFormat="1" ht="15" thickBot="1" x14ac:dyDescent="0.35">
      <c r="A825" s="29"/>
      <c r="B825" s="30">
        <f t="shared" si="12"/>
        <v>1</v>
      </c>
      <c r="C825" s="28"/>
      <c r="D825" s="35" t="str">
        <f>IFERROR(VLOOKUP(C825,T_CÓDIGO[#All],4,FALSE),"")</f>
        <v/>
      </c>
      <c r="E825" s="30" t="str">
        <f>IFERROR(VLOOKUP(C825,T_CÓDIGO[#All],6,FALSE),"")</f>
        <v/>
      </c>
      <c r="F825" s="28"/>
      <c r="G825" s="30"/>
      <c r="H825" s="28"/>
      <c r="I825" s="30"/>
      <c r="J825" s="30"/>
      <c r="K825" s="30" t="str">
        <f>IFERROR(VLOOKUP(C825,T_CÓDIGO[#All],3,FALSE),"")</f>
        <v/>
      </c>
      <c r="L825" s="28"/>
      <c r="M825" s="28"/>
      <c r="N825" s="30"/>
    </row>
    <row r="826" spans="1:14" s="2" customFormat="1" ht="15" thickBot="1" x14ac:dyDescent="0.35">
      <c r="A826" s="29"/>
      <c r="B826" s="30">
        <f t="shared" si="12"/>
        <v>1</v>
      </c>
      <c r="C826" s="28"/>
      <c r="D826" s="35" t="str">
        <f>IFERROR(VLOOKUP(C826,T_CÓDIGO[#All],4,FALSE),"")</f>
        <v/>
      </c>
      <c r="E826" s="30" t="str">
        <f>IFERROR(VLOOKUP(C826,T_CÓDIGO[#All],6,FALSE),"")</f>
        <v/>
      </c>
      <c r="F826" s="28"/>
      <c r="G826" s="30"/>
      <c r="H826" s="28"/>
      <c r="I826" s="30"/>
      <c r="J826" s="30"/>
      <c r="K826" s="30" t="str">
        <f>IFERROR(VLOOKUP(C826,T_CÓDIGO[#All],3,FALSE),"")</f>
        <v/>
      </c>
      <c r="L826" s="28"/>
      <c r="M826" s="28"/>
      <c r="N826" s="30"/>
    </row>
    <row r="827" spans="1:14" s="2" customFormat="1" ht="15" thickBot="1" x14ac:dyDescent="0.35">
      <c r="A827" s="29"/>
      <c r="B827" s="30">
        <f t="shared" si="12"/>
        <v>1</v>
      </c>
      <c r="C827" s="28"/>
      <c r="D827" s="35" t="str">
        <f>IFERROR(VLOOKUP(C827,T_CÓDIGO[#All],4,FALSE),"")</f>
        <v/>
      </c>
      <c r="E827" s="30" t="str">
        <f>IFERROR(VLOOKUP(C827,T_CÓDIGO[#All],6,FALSE),"")</f>
        <v/>
      </c>
      <c r="F827" s="28"/>
      <c r="G827" s="30"/>
      <c r="H827" s="28"/>
      <c r="I827" s="30"/>
      <c r="J827" s="30"/>
      <c r="K827" s="30" t="str">
        <f>IFERROR(VLOOKUP(C827,T_CÓDIGO[#All],3,FALSE),"")</f>
        <v/>
      </c>
      <c r="L827" s="28"/>
      <c r="M827" s="28"/>
      <c r="N827" s="30"/>
    </row>
    <row r="828" spans="1:14" s="2" customFormat="1" ht="15" thickBot="1" x14ac:dyDescent="0.35">
      <c r="A828" s="29"/>
      <c r="B828" s="30">
        <f t="shared" si="12"/>
        <v>1</v>
      </c>
      <c r="C828" s="28"/>
      <c r="D828" s="35" t="str">
        <f>IFERROR(VLOOKUP(C828,T_CÓDIGO[#All],4,FALSE),"")</f>
        <v/>
      </c>
      <c r="E828" s="30" t="str">
        <f>IFERROR(VLOOKUP(C828,T_CÓDIGO[#All],6,FALSE),"")</f>
        <v/>
      </c>
      <c r="F828" s="28"/>
      <c r="G828" s="30"/>
      <c r="H828" s="28"/>
      <c r="I828" s="30"/>
      <c r="J828" s="30"/>
      <c r="K828" s="30" t="str">
        <f>IFERROR(VLOOKUP(C828,T_CÓDIGO[#All],3,FALSE),"")</f>
        <v/>
      </c>
      <c r="L828" s="28"/>
      <c r="M828" s="28"/>
      <c r="N828" s="30"/>
    </row>
    <row r="829" spans="1:14" s="2" customFormat="1" ht="15" thickBot="1" x14ac:dyDescent="0.35">
      <c r="A829" s="29"/>
      <c r="B829" s="30">
        <f t="shared" si="12"/>
        <v>1</v>
      </c>
      <c r="C829" s="28"/>
      <c r="D829" s="35" t="str">
        <f>IFERROR(VLOOKUP(C829,T_CÓDIGO[#All],4,FALSE),"")</f>
        <v/>
      </c>
      <c r="E829" s="30" t="str">
        <f>IFERROR(VLOOKUP(C829,T_CÓDIGO[#All],6,FALSE),"")</f>
        <v/>
      </c>
      <c r="F829" s="28"/>
      <c r="G829" s="30"/>
      <c r="H829" s="28"/>
      <c r="I829" s="30"/>
      <c r="J829" s="30"/>
      <c r="K829" s="30" t="str">
        <f>IFERROR(VLOOKUP(C829,T_CÓDIGO[#All],3,FALSE),"")</f>
        <v/>
      </c>
      <c r="L829" s="28"/>
      <c r="M829" s="28"/>
      <c r="N829" s="30"/>
    </row>
    <row r="830" spans="1:14" s="2" customFormat="1" ht="15" thickBot="1" x14ac:dyDescent="0.35">
      <c r="A830" s="29"/>
      <c r="B830" s="30">
        <f t="shared" si="12"/>
        <v>1</v>
      </c>
      <c r="C830" s="28"/>
      <c r="D830" s="35" t="str">
        <f>IFERROR(VLOOKUP(C830,T_CÓDIGO[#All],4,FALSE),"")</f>
        <v/>
      </c>
      <c r="E830" s="30" t="str">
        <f>IFERROR(VLOOKUP(C830,T_CÓDIGO[#All],6,FALSE),"")</f>
        <v/>
      </c>
      <c r="F830" s="28"/>
      <c r="G830" s="30"/>
      <c r="H830" s="28"/>
      <c r="I830" s="30"/>
      <c r="J830" s="30"/>
      <c r="K830" s="30" t="str">
        <f>IFERROR(VLOOKUP(C830,T_CÓDIGO[#All],3,FALSE),"")</f>
        <v/>
      </c>
      <c r="L830" s="28"/>
      <c r="M830" s="28"/>
      <c r="N830" s="30"/>
    </row>
    <row r="831" spans="1:14" s="2" customFormat="1" ht="15" thickBot="1" x14ac:dyDescent="0.35">
      <c r="A831" s="29"/>
      <c r="B831" s="30">
        <f t="shared" si="12"/>
        <v>1</v>
      </c>
      <c r="C831" s="28"/>
      <c r="D831" s="35" t="str">
        <f>IFERROR(VLOOKUP(C831,T_CÓDIGO[#All],4,FALSE),"")</f>
        <v/>
      </c>
      <c r="E831" s="30" t="str">
        <f>IFERROR(VLOOKUP(C831,T_CÓDIGO[#All],6,FALSE),"")</f>
        <v/>
      </c>
      <c r="F831" s="28"/>
      <c r="G831" s="30"/>
      <c r="H831" s="28"/>
      <c r="I831" s="30"/>
      <c r="J831" s="30"/>
      <c r="K831" s="30" t="str">
        <f>IFERROR(VLOOKUP(C831,T_CÓDIGO[#All],3,FALSE),"")</f>
        <v/>
      </c>
      <c r="L831" s="28"/>
      <c r="M831" s="28"/>
      <c r="N831" s="30"/>
    </row>
    <row r="832" spans="1:14" s="2" customFormat="1" ht="15" thickBot="1" x14ac:dyDescent="0.35">
      <c r="A832" s="29"/>
      <c r="B832" s="30">
        <f t="shared" si="12"/>
        <v>1</v>
      </c>
      <c r="C832" s="28"/>
      <c r="D832" s="35" t="str">
        <f>IFERROR(VLOOKUP(C832,T_CÓDIGO[#All],4,FALSE),"")</f>
        <v/>
      </c>
      <c r="E832" s="30" t="str">
        <f>IFERROR(VLOOKUP(C832,T_CÓDIGO[#All],6,FALSE),"")</f>
        <v/>
      </c>
      <c r="F832" s="28"/>
      <c r="G832" s="30"/>
      <c r="H832" s="28"/>
      <c r="I832" s="30"/>
      <c r="J832" s="30"/>
      <c r="K832" s="30" t="str">
        <f>IFERROR(VLOOKUP(C832,T_CÓDIGO[#All],3,FALSE),"")</f>
        <v/>
      </c>
      <c r="L832" s="28"/>
      <c r="M832" s="28"/>
      <c r="N832" s="30"/>
    </row>
    <row r="833" spans="1:14" s="2" customFormat="1" ht="15" thickBot="1" x14ac:dyDescent="0.35">
      <c r="A833" s="29"/>
      <c r="B833" s="30">
        <f t="shared" si="12"/>
        <v>1</v>
      </c>
      <c r="C833" s="28"/>
      <c r="D833" s="35" t="str">
        <f>IFERROR(VLOOKUP(C833,T_CÓDIGO[#All],4,FALSE),"")</f>
        <v/>
      </c>
      <c r="E833" s="30" t="str">
        <f>IFERROR(VLOOKUP(C833,T_CÓDIGO[#All],6,FALSE),"")</f>
        <v/>
      </c>
      <c r="F833" s="28"/>
      <c r="G833" s="30"/>
      <c r="H833" s="28"/>
      <c r="I833" s="30"/>
      <c r="J833" s="30"/>
      <c r="K833" s="30" t="str">
        <f>IFERROR(VLOOKUP(C833,T_CÓDIGO[#All],3,FALSE),"")</f>
        <v/>
      </c>
      <c r="L833" s="28"/>
      <c r="M833" s="28"/>
      <c r="N833" s="30"/>
    </row>
    <row r="834" spans="1:14" s="2" customFormat="1" ht="15" thickBot="1" x14ac:dyDescent="0.35">
      <c r="A834" s="29"/>
      <c r="B834" s="30">
        <f t="shared" si="12"/>
        <v>1</v>
      </c>
      <c r="C834" s="28"/>
      <c r="D834" s="35" t="str">
        <f>IFERROR(VLOOKUP(C834,T_CÓDIGO[#All],4,FALSE),"")</f>
        <v/>
      </c>
      <c r="E834" s="30" t="str">
        <f>IFERROR(VLOOKUP(C834,T_CÓDIGO[#All],6,FALSE),"")</f>
        <v/>
      </c>
      <c r="F834" s="28"/>
      <c r="G834" s="30"/>
      <c r="H834" s="28"/>
      <c r="I834" s="30"/>
      <c r="J834" s="30"/>
      <c r="K834" s="30" t="str">
        <f>IFERROR(VLOOKUP(C834,T_CÓDIGO[#All],3,FALSE),"")</f>
        <v/>
      </c>
      <c r="L834" s="28"/>
      <c r="M834" s="28"/>
      <c r="N834" s="30"/>
    </row>
    <row r="835" spans="1:14" s="2" customFormat="1" ht="15" thickBot="1" x14ac:dyDescent="0.35">
      <c r="A835" s="29"/>
      <c r="B835" s="30">
        <f t="shared" si="12"/>
        <v>1</v>
      </c>
      <c r="C835" s="28"/>
      <c r="D835" s="35" t="str">
        <f>IFERROR(VLOOKUP(C835,T_CÓDIGO[#All],4,FALSE),"")</f>
        <v/>
      </c>
      <c r="E835" s="30" t="str">
        <f>IFERROR(VLOOKUP(C835,T_CÓDIGO[#All],6,FALSE),"")</f>
        <v/>
      </c>
      <c r="F835" s="28"/>
      <c r="G835" s="30"/>
      <c r="H835" s="28"/>
      <c r="I835" s="30"/>
      <c r="J835" s="30"/>
      <c r="K835" s="30" t="str">
        <f>IFERROR(VLOOKUP(C835,T_CÓDIGO[#All],3,FALSE),"")</f>
        <v/>
      </c>
      <c r="L835" s="28"/>
      <c r="M835" s="28"/>
      <c r="N835" s="30"/>
    </row>
    <row r="836" spans="1:14" s="2" customFormat="1" ht="15" thickBot="1" x14ac:dyDescent="0.35">
      <c r="A836" s="29"/>
      <c r="B836" s="30">
        <f t="shared" si="12"/>
        <v>1</v>
      </c>
      <c r="C836" s="28"/>
      <c r="D836" s="35" t="str">
        <f>IFERROR(VLOOKUP(C836,T_CÓDIGO[#All],4,FALSE),"")</f>
        <v/>
      </c>
      <c r="E836" s="30" t="str">
        <f>IFERROR(VLOOKUP(C836,T_CÓDIGO[#All],6,FALSE),"")</f>
        <v/>
      </c>
      <c r="F836" s="28"/>
      <c r="G836" s="30"/>
      <c r="H836" s="28"/>
      <c r="I836" s="30"/>
      <c r="J836" s="30"/>
      <c r="K836" s="30" t="str">
        <f>IFERROR(VLOOKUP(C836,T_CÓDIGO[#All],3,FALSE),"")</f>
        <v/>
      </c>
      <c r="L836" s="28"/>
      <c r="M836" s="28"/>
      <c r="N836" s="30"/>
    </row>
    <row r="837" spans="1:14" s="2" customFormat="1" ht="15" thickBot="1" x14ac:dyDescent="0.35">
      <c r="A837" s="29"/>
      <c r="B837" s="30">
        <f t="shared" si="12"/>
        <v>1</v>
      </c>
      <c r="C837" s="28"/>
      <c r="D837" s="35" t="str">
        <f>IFERROR(VLOOKUP(C837,T_CÓDIGO[#All],4,FALSE),"")</f>
        <v/>
      </c>
      <c r="E837" s="30" t="str">
        <f>IFERROR(VLOOKUP(C837,T_CÓDIGO[#All],6,FALSE),"")</f>
        <v/>
      </c>
      <c r="F837" s="28"/>
      <c r="G837" s="30"/>
      <c r="H837" s="28"/>
      <c r="I837" s="30"/>
      <c r="J837" s="30"/>
      <c r="K837" s="30" t="str">
        <f>IFERROR(VLOOKUP(C837,T_CÓDIGO[#All],3,FALSE),"")</f>
        <v/>
      </c>
      <c r="L837" s="28"/>
      <c r="M837" s="28"/>
      <c r="N837" s="30"/>
    </row>
    <row r="838" spans="1:14" s="2" customFormat="1" ht="15" thickBot="1" x14ac:dyDescent="0.35">
      <c r="A838" s="29"/>
      <c r="B838" s="30">
        <f t="shared" si="12"/>
        <v>1</v>
      </c>
      <c r="C838" s="28"/>
      <c r="D838" s="35" t="str">
        <f>IFERROR(VLOOKUP(C838,T_CÓDIGO[#All],4,FALSE),"")</f>
        <v/>
      </c>
      <c r="E838" s="30" t="str">
        <f>IFERROR(VLOOKUP(C838,T_CÓDIGO[#All],6,FALSE),"")</f>
        <v/>
      </c>
      <c r="F838" s="28"/>
      <c r="G838" s="30"/>
      <c r="H838" s="28"/>
      <c r="I838" s="30"/>
      <c r="J838" s="30"/>
      <c r="K838" s="30" t="str">
        <f>IFERROR(VLOOKUP(C838,T_CÓDIGO[#All],3,FALSE),"")</f>
        <v/>
      </c>
      <c r="L838" s="28"/>
      <c r="M838" s="28"/>
      <c r="N838" s="30"/>
    </row>
    <row r="839" spans="1:14" s="2" customFormat="1" ht="15" thickBot="1" x14ac:dyDescent="0.35">
      <c r="A839" s="29"/>
      <c r="B839" s="30">
        <f t="shared" si="12"/>
        <v>1</v>
      </c>
      <c r="C839" s="28"/>
      <c r="D839" s="35" t="str">
        <f>IFERROR(VLOOKUP(C839,T_CÓDIGO[#All],4,FALSE),"")</f>
        <v/>
      </c>
      <c r="E839" s="30" t="str">
        <f>IFERROR(VLOOKUP(C839,T_CÓDIGO[#All],6,FALSE),"")</f>
        <v/>
      </c>
      <c r="F839" s="28"/>
      <c r="G839" s="30"/>
      <c r="H839" s="28"/>
      <c r="I839" s="30"/>
      <c r="J839" s="30"/>
      <c r="K839" s="30" t="str">
        <f>IFERROR(VLOOKUP(C839,T_CÓDIGO[#All],3,FALSE),"")</f>
        <v/>
      </c>
      <c r="L839" s="28"/>
      <c r="M839" s="28"/>
      <c r="N839" s="30"/>
    </row>
    <row r="840" spans="1:14" s="2" customFormat="1" ht="15" thickBot="1" x14ac:dyDescent="0.35">
      <c r="A840" s="29"/>
      <c r="B840" s="30">
        <f t="shared" si="12"/>
        <v>1</v>
      </c>
      <c r="C840" s="28"/>
      <c r="D840" s="35" t="str">
        <f>IFERROR(VLOOKUP(C840,T_CÓDIGO[#All],4,FALSE),"")</f>
        <v/>
      </c>
      <c r="E840" s="30" t="str">
        <f>IFERROR(VLOOKUP(C840,T_CÓDIGO[#All],6,FALSE),"")</f>
        <v/>
      </c>
      <c r="F840" s="28"/>
      <c r="G840" s="30"/>
      <c r="H840" s="28"/>
      <c r="I840" s="30"/>
      <c r="J840" s="30"/>
      <c r="K840" s="30" t="str">
        <f>IFERROR(VLOOKUP(C840,T_CÓDIGO[#All],3,FALSE),"")</f>
        <v/>
      </c>
      <c r="L840" s="28"/>
      <c r="M840" s="28"/>
      <c r="N840" s="30"/>
    </row>
    <row r="841" spans="1:14" s="2" customFormat="1" ht="15" thickBot="1" x14ac:dyDescent="0.35">
      <c r="A841" s="29"/>
      <c r="B841" s="30">
        <f t="shared" si="12"/>
        <v>1</v>
      </c>
      <c r="C841" s="28"/>
      <c r="D841" s="35" t="str">
        <f>IFERROR(VLOOKUP(C841,T_CÓDIGO[#All],4,FALSE),"")</f>
        <v/>
      </c>
      <c r="E841" s="30" t="str">
        <f>IFERROR(VLOOKUP(C841,T_CÓDIGO[#All],6,FALSE),"")</f>
        <v/>
      </c>
      <c r="F841" s="28"/>
      <c r="G841" s="30"/>
      <c r="H841" s="28"/>
      <c r="I841" s="30"/>
      <c r="J841" s="30"/>
      <c r="K841" s="30" t="str">
        <f>IFERROR(VLOOKUP(C841,T_CÓDIGO[#All],3,FALSE),"")</f>
        <v/>
      </c>
      <c r="L841" s="28"/>
      <c r="M841" s="28"/>
      <c r="N841" s="30"/>
    </row>
    <row r="842" spans="1:14" s="2" customFormat="1" ht="15" thickBot="1" x14ac:dyDescent="0.35">
      <c r="A842" s="29"/>
      <c r="B842" s="30">
        <f t="shared" ref="B842:B874" si="13">MONTH(A842)</f>
        <v>1</v>
      </c>
      <c r="C842" s="28"/>
      <c r="D842" s="35" t="str">
        <f>IFERROR(VLOOKUP(C842,T_CÓDIGO[#All],4,FALSE),"")</f>
        <v/>
      </c>
      <c r="E842" s="30" t="str">
        <f>IFERROR(VLOOKUP(C842,T_CÓDIGO[#All],6,FALSE),"")</f>
        <v/>
      </c>
      <c r="F842" s="28"/>
      <c r="G842" s="30"/>
      <c r="H842" s="28"/>
      <c r="I842" s="30"/>
      <c r="J842" s="30"/>
      <c r="K842" s="30" t="str">
        <f>IFERROR(VLOOKUP(C842,T_CÓDIGO[#All],3,FALSE),"")</f>
        <v/>
      </c>
      <c r="L842" s="28"/>
      <c r="M842" s="28"/>
      <c r="N842" s="30"/>
    </row>
    <row r="843" spans="1:14" s="2" customFormat="1" ht="15" thickBot="1" x14ac:dyDescent="0.35">
      <c r="A843" s="29"/>
      <c r="B843" s="30">
        <f t="shared" si="13"/>
        <v>1</v>
      </c>
      <c r="C843" s="28"/>
      <c r="D843" s="35" t="str">
        <f>IFERROR(VLOOKUP(C843,T_CÓDIGO[#All],4,FALSE),"")</f>
        <v/>
      </c>
      <c r="E843" s="30" t="str">
        <f>IFERROR(VLOOKUP(C843,T_CÓDIGO[#All],6,FALSE),"")</f>
        <v/>
      </c>
      <c r="F843" s="28"/>
      <c r="G843" s="30"/>
      <c r="H843" s="28"/>
      <c r="I843" s="30"/>
      <c r="J843" s="30"/>
      <c r="K843" s="30" t="str">
        <f>IFERROR(VLOOKUP(C843,T_CÓDIGO[#All],3,FALSE),"")</f>
        <v/>
      </c>
      <c r="L843" s="28"/>
      <c r="M843" s="28"/>
      <c r="N843" s="30"/>
    </row>
    <row r="844" spans="1:14" s="2" customFormat="1" ht="15" thickBot="1" x14ac:dyDescent="0.35">
      <c r="A844" s="29"/>
      <c r="B844" s="30">
        <f t="shared" si="13"/>
        <v>1</v>
      </c>
      <c r="C844" s="28"/>
      <c r="D844" s="35" t="str">
        <f>IFERROR(VLOOKUP(C844,T_CÓDIGO[#All],4,FALSE),"")</f>
        <v/>
      </c>
      <c r="E844" s="30" t="str">
        <f>IFERROR(VLOOKUP(C844,T_CÓDIGO[#All],6,FALSE),"")</f>
        <v/>
      </c>
      <c r="F844" s="28"/>
      <c r="G844" s="30"/>
      <c r="H844" s="28"/>
      <c r="I844" s="30"/>
      <c r="J844" s="30"/>
      <c r="K844" s="30" t="str">
        <f>IFERROR(VLOOKUP(C844,T_CÓDIGO[#All],3,FALSE),"")</f>
        <v/>
      </c>
      <c r="L844" s="28"/>
      <c r="M844" s="28"/>
      <c r="N844" s="30"/>
    </row>
    <row r="845" spans="1:14" s="2" customFormat="1" ht="15" thickBot="1" x14ac:dyDescent="0.35">
      <c r="A845" s="29"/>
      <c r="B845" s="30">
        <f t="shared" si="13"/>
        <v>1</v>
      </c>
      <c r="C845" s="28"/>
      <c r="D845" s="35" t="str">
        <f>IFERROR(VLOOKUP(C845,T_CÓDIGO[#All],4,FALSE),"")</f>
        <v/>
      </c>
      <c r="E845" s="30" t="str">
        <f>IFERROR(VLOOKUP(C845,T_CÓDIGO[#All],6,FALSE),"")</f>
        <v/>
      </c>
      <c r="F845" s="28"/>
      <c r="G845" s="30"/>
      <c r="H845" s="28"/>
      <c r="I845" s="30"/>
      <c r="J845" s="30"/>
      <c r="K845" s="30" t="str">
        <f>IFERROR(VLOOKUP(C845,T_CÓDIGO[#All],3,FALSE),"")</f>
        <v/>
      </c>
      <c r="L845" s="28"/>
      <c r="M845" s="28"/>
      <c r="N845" s="30"/>
    </row>
    <row r="846" spans="1:14" s="2" customFormat="1" ht="15" thickBot="1" x14ac:dyDescent="0.35">
      <c r="A846" s="29"/>
      <c r="B846" s="30">
        <f t="shared" si="13"/>
        <v>1</v>
      </c>
      <c r="C846" s="28"/>
      <c r="D846" s="35" t="str">
        <f>IFERROR(VLOOKUP(C846,T_CÓDIGO[#All],4,FALSE),"")</f>
        <v/>
      </c>
      <c r="E846" s="30" t="str">
        <f>IFERROR(VLOOKUP(C846,T_CÓDIGO[#All],6,FALSE),"")</f>
        <v/>
      </c>
      <c r="F846" s="28"/>
      <c r="G846" s="30"/>
      <c r="H846" s="28"/>
      <c r="I846" s="30"/>
      <c r="J846" s="30"/>
      <c r="K846" s="30" t="str">
        <f>IFERROR(VLOOKUP(C846,T_CÓDIGO[#All],3,FALSE),"")</f>
        <v/>
      </c>
      <c r="L846" s="28"/>
      <c r="M846" s="28"/>
      <c r="N846" s="30"/>
    </row>
    <row r="847" spans="1:14" s="2" customFormat="1" ht="15" thickBot="1" x14ac:dyDescent="0.35">
      <c r="A847" s="29"/>
      <c r="B847" s="30">
        <f t="shared" si="13"/>
        <v>1</v>
      </c>
      <c r="C847" s="28"/>
      <c r="D847" s="35" t="str">
        <f>IFERROR(VLOOKUP(C847,T_CÓDIGO[#All],4,FALSE),"")</f>
        <v/>
      </c>
      <c r="E847" s="30" t="str">
        <f>IFERROR(VLOOKUP(C847,T_CÓDIGO[#All],6,FALSE),"")</f>
        <v/>
      </c>
      <c r="F847" s="28"/>
      <c r="G847" s="30"/>
      <c r="H847" s="28"/>
      <c r="I847" s="30"/>
      <c r="J847" s="30"/>
      <c r="K847" s="30" t="str">
        <f>IFERROR(VLOOKUP(C847,T_CÓDIGO[#All],3,FALSE),"")</f>
        <v/>
      </c>
      <c r="L847" s="28"/>
      <c r="M847" s="28"/>
      <c r="N847" s="30"/>
    </row>
    <row r="848" spans="1:14" s="2" customFormat="1" ht="15" thickBot="1" x14ac:dyDescent="0.35">
      <c r="A848" s="29"/>
      <c r="B848" s="30">
        <f t="shared" si="13"/>
        <v>1</v>
      </c>
      <c r="C848" s="28"/>
      <c r="D848" s="35" t="str">
        <f>IFERROR(VLOOKUP(C848,T_CÓDIGO[#All],4,FALSE),"")</f>
        <v/>
      </c>
      <c r="E848" s="30" t="str">
        <f>IFERROR(VLOOKUP(C848,T_CÓDIGO[#All],6,FALSE),"")</f>
        <v/>
      </c>
      <c r="F848" s="28"/>
      <c r="G848" s="30"/>
      <c r="H848" s="28"/>
      <c r="I848" s="30"/>
      <c r="J848" s="30"/>
      <c r="K848" s="30" t="str">
        <f>IFERROR(VLOOKUP(C848,T_CÓDIGO[#All],3,FALSE),"")</f>
        <v/>
      </c>
      <c r="L848" s="28"/>
      <c r="M848" s="28"/>
      <c r="N848" s="30"/>
    </row>
    <row r="849" spans="1:14" s="2" customFormat="1" ht="15" thickBot="1" x14ac:dyDescent="0.35">
      <c r="A849" s="29"/>
      <c r="B849" s="30">
        <f t="shared" si="13"/>
        <v>1</v>
      </c>
      <c r="C849" s="28"/>
      <c r="D849" s="35" t="str">
        <f>IFERROR(VLOOKUP(C849,T_CÓDIGO[#All],4,FALSE),"")</f>
        <v/>
      </c>
      <c r="E849" s="30" t="str">
        <f>IFERROR(VLOOKUP(C849,T_CÓDIGO[#All],6,FALSE),"")</f>
        <v/>
      </c>
      <c r="F849" s="28"/>
      <c r="G849" s="30"/>
      <c r="H849" s="28"/>
      <c r="I849" s="30"/>
      <c r="J849" s="30"/>
      <c r="K849" s="30" t="str">
        <f>IFERROR(VLOOKUP(C849,T_CÓDIGO[#All],3,FALSE),"")</f>
        <v/>
      </c>
      <c r="L849" s="28"/>
      <c r="M849" s="28"/>
      <c r="N849" s="30"/>
    </row>
    <row r="850" spans="1:14" s="2" customFormat="1" ht="15" thickBot="1" x14ac:dyDescent="0.35">
      <c r="A850" s="29"/>
      <c r="B850" s="30">
        <f t="shared" si="13"/>
        <v>1</v>
      </c>
      <c r="C850" s="28"/>
      <c r="D850" s="35" t="str">
        <f>IFERROR(VLOOKUP(C850,T_CÓDIGO[#All],4,FALSE),"")</f>
        <v/>
      </c>
      <c r="E850" s="30" t="str">
        <f>IFERROR(VLOOKUP(C850,T_CÓDIGO[#All],6,FALSE),"")</f>
        <v/>
      </c>
      <c r="F850" s="28"/>
      <c r="G850" s="30"/>
      <c r="H850" s="28"/>
      <c r="I850" s="30"/>
      <c r="J850" s="30"/>
      <c r="K850" s="30" t="str">
        <f>IFERROR(VLOOKUP(C850,T_CÓDIGO[#All],3,FALSE),"")</f>
        <v/>
      </c>
      <c r="L850" s="28"/>
      <c r="M850" s="28"/>
      <c r="N850" s="30"/>
    </row>
    <row r="851" spans="1:14" s="2" customFormat="1" ht="15" thickBot="1" x14ac:dyDescent="0.35">
      <c r="A851" s="29"/>
      <c r="B851" s="30">
        <f t="shared" si="13"/>
        <v>1</v>
      </c>
      <c r="C851" s="28"/>
      <c r="D851" s="35" t="str">
        <f>IFERROR(VLOOKUP(C851,T_CÓDIGO[#All],4,FALSE),"")</f>
        <v/>
      </c>
      <c r="E851" s="30" t="str">
        <f>IFERROR(VLOOKUP(C851,T_CÓDIGO[#All],6,FALSE),"")</f>
        <v/>
      </c>
      <c r="F851" s="28"/>
      <c r="G851" s="30"/>
      <c r="H851" s="28"/>
      <c r="I851" s="30"/>
      <c r="J851" s="30"/>
      <c r="K851" s="30" t="str">
        <f>IFERROR(VLOOKUP(C851,T_CÓDIGO[#All],3,FALSE),"")</f>
        <v/>
      </c>
      <c r="L851" s="28"/>
      <c r="M851" s="28"/>
      <c r="N851" s="30"/>
    </row>
    <row r="852" spans="1:14" s="2" customFormat="1" ht="15" thickBot="1" x14ac:dyDescent="0.35">
      <c r="A852" s="29"/>
      <c r="B852" s="30">
        <f t="shared" si="13"/>
        <v>1</v>
      </c>
      <c r="C852" s="28"/>
      <c r="D852" s="35" t="str">
        <f>IFERROR(VLOOKUP(C852,T_CÓDIGO[#All],4,FALSE),"")</f>
        <v/>
      </c>
      <c r="E852" s="30" t="str">
        <f>IFERROR(VLOOKUP(C852,T_CÓDIGO[#All],6,FALSE),"")</f>
        <v/>
      </c>
      <c r="F852" s="28"/>
      <c r="G852" s="30"/>
      <c r="H852" s="28"/>
      <c r="I852" s="30"/>
      <c r="J852" s="30"/>
      <c r="K852" s="30" t="str">
        <f>IFERROR(VLOOKUP(C852,T_CÓDIGO[#All],3,FALSE),"")</f>
        <v/>
      </c>
      <c r="L852" s="28"/>
      <c r="M852" s="28"/>
      <c r="N852" s="30"/>
    </row>
    <row r="853" spans="1:14" s="2" customFormat="1" ht="15" thickBot="1" x14ac:dyDescent="0.35">
      <c r="A853" s="29"/>
      <c r="B853" s="30">
        <f t="shared" si="13"/>
        <v>1</v>
      </c>
      <c r="C853" s="28"/>
      <c r="D853" s="35" t="str">
        <f>IFERROR(VLOOKUP(C853,T_CÓDIGO[#All],4,FALSE),"")</f>
        <v/>
      </c>
      <c r="E853" s="30" t="str">
        <f>IFERROR(VLOOKUP(C853,T_CÓDIGO[#All],6,FALSE),"")</f>
        <v/>
      </c>
      <c r="F853" s="28"/>
      <c r="G853" s="30"/>
      <c r="H853" s="28"/>
      <c r="I853" s="30"/>
      <c r="J853" s="30"/>
      <c r="K853" s="30" t="str">
        <f>IFERROR(VLOOKUP(C853,T_CÓDIGO[#All],3,FALSE),"")</f>
        <v/>
      </c>
      <c r="L853" s="28"/>
      <c r="M853" s="28"/>
      <c r="N853" s="30"/>
    </row>
    <row r="854" spans="1:14" s="2" customFormat="1" ht="15" thickBot="1" x14ac:dyDescent="0.35">
      <c r="A854" s="29"/>
      <c r="B854" s="30">
        <f t="shared" si="13"/>
        <v>1</v>
      </c>
      <c r="C854" s="28"/>
      <c r="D854" s="35" t="str">
        <f>IFERROR(VLOOKUP(C854,T_CÓDIGO[#All],4,FALSE),"")</f>
        <v/>
      </c>
      <c r="E854" s="30" t="str">
        <f>IFERROR(VLOOKUP(C854,T_CÓDIGO[#All],6,FALSE),"")</f>
        <v/>
      </c>
      <c r="F854" s="28"/>
      <c r="G854" s="30"/>
      <c r="H854" s="28"/>
      <c r="I854" s="30"/>
      <c r="J854" s="30"/>
      <c r="K854" s="30" t="str">
        <f>IFERROR(VLOOKUP(C854,T_CÓDIGO[#All],3,FALSE),"")</f>
        <v/>
      </c>
      <c r="L854" s="28"/>
      <c r="M854" s="28"/>
      <c r="N854" s="30"/>
    </row>
    <row r="855" spans="1:14" s="2" customFormat="1" ht="15" thickBot="1" x14ac:dyDescent="0.35">
      <c r="A855" s="29"/>
      <c r="B855" s="30">
        <f t="shared" si="13"/>
        <v>1</v>
      </c>
      <c r="C855" s="28"/>
      <c r="D855" s="35" t="str">
        <f>IFERROR(VLOOKUP(C855,T_CÓDIGO[#All],4,FALSE),"")</f>
        <v/>
      </c>
      <c r="E855" s="30" t="str">
        <f>IFERROR(VLOOKUP(C855,T_CÓDIGO[#All],6,FALSE),"")</f>
        <v/>
      </c>
      <c r="F855" s="28"/>
      <c r="G855" s="30"/>
      <c r="H855" s="28"/>
      <c r="I855" s="30"/>
      <c r="J855" s="30"/>
      <c r="K855" s="30" t="str">
        <f>IFERROR(VLOOKUP(C855,T_CÓDIGO[#All],3,FALSE),"")</f>
        <v/>
      </c>
      <c r="L855" s="28"/>
      <c r="M855" s="28"/>
      <c r="N855" s="30"/>
    </row>
    <row r="856" spans="1:14" s="2" customFormat="1" ht="15" thickBot="1" x14ac:dyDescent="0.35">
      <c r="A856" s="29"/>
      <c r="B856" s="30">
        <f t="shared" si="13"/>
        <v>1</v>
      </c>
      <c r="C856" s="28"/>
      <c r="D856" s="35" t="str">
        <f>IFERROR(VLOOKUP(C856,T_CÓDIGO[#All],4,FALSE),"")</f>
        <v/>
      </c>
      <c r="E856" s="30" t="str">
        <f>IFERROR(VLOOKUP(C856,T_CÓDIGO[#All],6,FALSE),"")</f>
        <v/>
      </c>
      <c r="F856" s="28"/>
      <c r="G856" s="30"/>
      <c r="H856" s="28"/>
      <c r="I856" s="30"/>
      <c r="J856" s="30"/>
      <c r="K856" s="30" t="str">
        <f>IFERROR(VLOOKUP(C856,T_CÓDIGO[#All],3,FALSE),"")</f>
        <v/>
      </c>
      <c r="L856" s="28"/>
      <c r="M856" s="28"/>
      <c r="N856" s="30"/>
    </row>
    <row r="857" spans="1:14" s="2" customFormat="1" ht="15" thickBot="1" x14ac:dyDescent="0.35">
      <c r="A857" s="29"/>
      <c r="B857" s="30">
        <f t="shared" si="13"/>
        <v>1</v>
      </c>
      <c r="C857" s="28"/>
      <c r="D857" s="35" t="str">
        <f>IFERROR(VLOOKUP(C857,T_CÓDIGO[#All],4,FALSE),"")</f>
        <v/>
      </c>
      <c r="E857" s="30" t="str">
        <f>IFERROR(VLOOKUP(C857,T_CÓDIGO[#All],6,FALSE),"")</f>
        <v/>
      </c>
      <c r="F857" s="28"/>
      <c r="G857" s="30"/>
      <c r="H857" s="28"/>
      <c r="I857" s="30"/>
      <c r="J857" s="30"/>
      <c r="K857" s="30" t="str">
        <f>IFERROR(VLOOKUP(C857,T_CÓDIGO[#All],3,FALSE),"")</f>
        <v/>
      </c>
      <c r="L857" s="28"/>
      <c r="M857" s="28"/>
      <c r="N857" s="30"/>
    </row>
    <row r="858" spans="1:14" s="2" customFormat="1" ht="15" thickBot="1" x14ac:dyDescent="0.35">
      <c r="A858" s="29"/>
      <c r="B858" s="30">
        <f t="shared" si="13"/>
        <v>1</v>
      </c>
      <c r="C858" s="28"/>
      <c r="D858" s="35" t="str">
        <f>IFERROR(VLOOKUP(C858,T_CÓDIGO[#All],4,FALSE),"")</f>
        <v/>
      </c>
      <c r="E858" s="30" t="str">
        <f>IFERROR(VLOOKUP(C858,T_CÓDIGO[#All],6,FALSE),"")</f>
        <v/>
      </c>
      <c r="F858" s="28"/>
      <c r="G858" s="30"/>
      <c r="H858" s="28"/>
      <c r="I858" s="30"/>
      <c r="J858" s="30"/>
      <c r="K858" s="30" t="str">
        <f>IFERROR(VLOOKUP(C858,T_CÓDIGO[#All],3,FALSE),"")</f>
        <v/>
      </c>
      <c r="L858" s="28"/>
      <c r="M858" s="28"/>
      <c r="N858" s="30"/>
    </row>
    <row r="859" spans="1:14" s="2" customFormat="1" ht="15" thickBot="1" x14ac:dyDescent="0.35">
      <c r="A859" s="29"/>
      <c r="B859" s="30">
        <f t="shared" si="13"/>
        <v>1</v>
      </c>
      <c r="C859" s="28"/>
      <c r="D859" s="35" t="str">
        <f>IFERROR(VLOOKUP(C859,T_CÓDIGO[#All],4,FALSE),"")</f>
        <v/>
      </c>
      <c r="E859" s="30" t="str">
        <f>IFERROR(VLOOKUP(C859,T_CÓDIGO[#All],6,FALSE),"")</f>
        <v/>
      </c>
      <c r="F859" s="28"/>
      <c r="G859" s="30"/>
      <c r="H859" s="28"/>
      <c r="I859" s="30"/>
      <c r="J859" s="30"/>
      <c r="K859" s="30" t="str">
        <f>IFERROR(VLOOKUP(C859,T_CÓDIGO[#All],3,FALSE),"")</f>
        <v/>
      </c>
      <c r="L859" s="28"/>
      <c r="M859" s="28"/>
      <c r="N859" s="30"/>
    </row>
    <row r="860" spans="1:14" s="2" customFormat="1" ht="15" thickBot="1" x14ac:dyDescent="0.35">
      <c r="A860" s="29"/>
      <c r="B860" s="30">
        <f t="shared" si="13"/>
        <v>1</v>
      </c>
      <c r="C860" s="28"/>
      <c r="D860" s="35" t="str">
        <f>IFERROR(VLOOKUP(C860,T_CÓDIGO[#All],4,FALSE),"")</f>
        <v/>
      </c>
      <c r="E860" s="30" t="str">
        <f>IFERROR(VLOOKUP(C860,T_CÓDIGO[#All],6,FALSE),"")</f>
        <v/>
      </c>
      <c r="F860" s="28"/>
      <c r="G860" s="30"/>
      <c r="H860" s="28"/>
      <c r="I860" s="30"/>
      <c r="J860" s="30"/>
      <c r="K860" s="30" t="str">
        <f>IFERROR(VLOOKUP(C860,T_CÓDIGO[#All],3,FALSE),"")</f>
        <v/>
      </c>
      <c r="L860" s="28"/>
      <c r="M860" s="28"/>
      <c r="N860" s="30"/>
    </row>
    <row r="861" spans="1:14" s="2" customFormat="1" ht="15" thickBot="1" x14ac:dyDescent="0.35">
      <c r="A861" s="29"/>
      <c r="B861" s="30">
        <f t="shared" si="13"/>
        <v>1</v>
      </c>
      <c r="C861" s="28"/>
      <c r="D861" s="35" t="str">
        <f>IFERROR(VLOOKUP(C861,T_CÓDIGO[#All],4,FALSE),"")</f>
        <v/>
      </c>
      <c r="E861" s="30" t="str">
        <f>IFERROR(VLOOKUP(C861,T_CÓDIGO[#All],6,FALSE),"")</f>
        <v/>
      </c>
      <c r="F861" s="28"/>
      <c r="G861" s="30"/>
      <c r="H861" s="28"/>
      <c r="I861" s="30"/>
      <c r="J861" s="30"/>
      <c r="K861" s="30" t="str">
        <f>IFERROR(VLOOKUP(C861,T_CÓDIGO[#All],3,FALSE),"")</f>
        <v/>
      </c>
      <c r="L861" s="28"/>
      <c r="M861" s="28"/>
      <c r="N861" s="30"/>
    </row>
    <row r="862" spans="1:14" s="2" customFormat="1" ht="15" thickBot="1" x14ac:dyDescent="0.35">
      <c r="A862" s="29"/>
      <c r="B862" s="30">
        <f t="shared" si="13"/>
        <v>1</v>
      </c>
      <c r="C862" s="28"/>
      <c r="D862" s="35" t="str">
        <f>IFERROR(VLOOKUP(C862,T_CÓDIGO[#All],4,FALSE),"")</f>
        <v/>
      </c>
      <c r="E862" s="30" t="str">
        <f>IFERROR(VLOOKUP(C862,T_CÓDIGO[#All],6,FALSE),"")</f>
        <v/>
      </c>
      <c r="F862" s="28"/>
      <c r="G862" s="30"/>
      <c r="H862" s="28"/>
      <c r="I862" s="30"/>
      <c r="J862" s="30"/>
      <c r="K862" s="30" t="str">
        <f>IFERROR(VLOOKUP(C862,T_CÓDIGO[#All],3,FALSE),"")</f>
        <v/>
      </c>
      <c r="L862" s="28"/>
      <c r="M862" s="28"/>
      <c r="N862" s="30"/>
    </row>
    <row r="863" spans="1:14" s="2" customFormat="1" ht="15" thickBot="1" x14ac:dyDescent="0.35">
      <c r="A863" s="29"/>
      <c r="B863" s="30">
        <f t="shared" si="13"/>
        <v>1</v>
      </c>
      <c r="C863" s="28"/>
      <c r="D863" s="35" t="str">
        <f>IFERROR(VLOOKUP(C863,T_CÓDIGO[#All],4,FALSE),"")</f>
        <v/>
      </c>
      <c r="E863" s="30" t="str">
        <f>IFERROR(VLOOKUP(C863,T_CÓDIGO[#All],6,FALSE),"")</f>
        <v/>
      </c>
      <c r="F863" s="28"/>
      <c r="G863" s="30"/>
      <c r="H863" s="28"/>
      <c r="I863" s="30"/>
      <c r="J863" s="30"/>
      <c r="K863" s="30" t="str">
        <f>IFERROR(VLOOKUP(C863,T_CÓDIGO[#All],3,FALSE),"")</f>
        <v/>
      </c>
      <c r="L863" s="28"/>
      <c r="M863" s="28"/>
      <c r="N863" s="30"/>
    </row>
    <row r="864" spans="1:14" s="2" customFormat="1" ht="15" thickBot="1" x14ac:dyDescent="0.35">
      <c r="A864" s="29"/>
      <c r="B864" s="30">
        <f t="shared" si="13"/>
        <v>1</v>
      </c>
      <c r="C864" s="28"/>
      <c r="D864" s="35" t="str">
        <f>IFERROR(VLOOKUP(C864,T_CÓDIGO[#All],4,FALSE),"")</f>
        <v/>
      </c>
      <c r="E864" s="30" t="str">
        <f>IFERROR(VLOOKUP(C864,T_CÓDIGO[#All],6,FALSE),"")</f>
        <v/>
      </c>
      <c r="F864" s="28"/>
      <c r="G864" s="30"/>
      <c r="H864" s="28"/>
      <c r="I864" s="30"/>
      <c r="J864" s="30"/>
      <c r="K864" s="30" t="str">
        <f>IFERROR(VLOOKUP(C864,T_CÓDIGO[#All],3,FALSE),"")</f>
        <v/>
      </c>
      <c r="L864" s="28"/>
      <c r="M864" s="28"/>
      <c r="N864" s="30"/>
    </row>
    <row r="865" spans="1:14" s="2" customFormat="1" ht="15" thickBot="1" x14ac:dyDescent="0.35">
      <c r="A865" s="29"/>
      <c r="B865" s="30">
        <f t="shared" si="13"/>
        <v>1</v>
      </c>
      <c r="C865" s="28"/>
      <c r="D865" s="35" t="str">
        <f>IFERROR(VLOOKUP(C865,T_CÓDIGO[#All],4,FALSE),"")</f>
        <v/>
      </c>
      <c r="E865" s="30" t="str">
        <f>IFERROR(VLOOKUP(C865,T_CÓDIGO[#All],6,FALSE),"")</f>
        <v/>
      </c>
      <c r="F865" s="28"/>
      <c r="G865" s="30"/>
      <c r="H865" s="28"/>
      <c r="I865" s="30"/>
      <c r="J865" s="30"/>
      <c r="K865" s="30" t="str">
        <f>IFERROR(VLOOKUP(C865,T_CÓDIGO[#All],3,FALSE),"")</f>
        <v/>
      </c>
      <c r="L865" s="28"/>
      <c r="M865" s="28"/>
      <c r="N865" s="30"/>
    </row>
    <row r="866" spans="1:14" s="2" customFormat="1" ht="15" thickBot="1" x14ac:dyDescent="0.35">
      <c r="A866" s="29"/>
      <c r="B866" s="30">
        <f t="shared" si="13"/>
        <v>1</v>
      </c>
      <c r="C866" s="28"/>
      <c r="D866" s="35" t="str">
        <f>IFERROR(VLOOKUP(C866,T_CÓDIGO[#All],4,FALSE),"")</f>
        <v/>
      </c>
      <c r="E866" s="30" t="str">
        <f>IFERROR(VLOOKUP(C866,T_CÓDIGO[#All],6,FALSE),"")</f>
        <v/>
      </c>
      <c r="F866" s="28"/>
      <c r="G866" s="30"/>
      <c r="H866" s="28"/>
      <c r="I866" s="30"/>
      <c r="J866" s="30"/>
      <c r="K866" s="30" t="str">
        <f>IFERROR(VLOOKUP(C866,T_CÓDIGO[#All],3,FALSE),"")</f>
        <v/>
      </c>
      <c r="L866" s="28"/>
      <c r="M866" s="28"/>
      <c r="N866" s="30"/>
    </row>
    <row r="867" spans="1:14" s="2" customFormat="1" ht="15" thickBot="1" x14ac:dyDescent="0.35">
      <c r="A867" s="29"/>
      <c r="B867" s="30">
        <f t="shared" si="13"/>
        <v>1</v>
      </c>
      <c r="C867" s="28"/>
      <c r="D867" s="35" t="str">
        <f>IFERROR(VLOOKUP(C867,T_CÓDIGO[#All],4,FALSE),"")</f>
        <v/>
      </c>
      <c r="E867" s="30" t="str">
        <f>IFERROR(VLOOKUP(C867,T_CÓDIGO[#All],6,FALSE),"")</f>
        <v/>
      </c>
      <c r="F867" s="28"/>
      <c r="G867" s="30"/>
      <c r="H867" s="28"/>
      <c r="I867" s="30"/>
      <c r="J867" s="30"/>
      <c r="K867" s="30" t="str">
        <f>IFERROR(VLOOKUP(C867,T_CÓDIGO[#All],3,FALSE),"")</f>
        <v/>
      </c>
      <c r="L867" s="28"/>
      <c r="M867" s="28"/>
      <c r="N867" s="30"/>
    </row>
    <row r="868" spans="1:14" s="2" customFormat="1" ht="15" thickBot="1" x14ac:dyDescent="0.35">
      <c r="A868" s="29"/>
      <c r="B868" s="30">
        <f t="shared" si="13"/>
        <v>1</v>
      </c>
      <c r="C868" s="28"/>
      <c r="D868" s="35" t="str">
        <f>IFERROR(VLOOKUP(C868,T_CÓDIGO[#All],4,FALSE),"")</f>
        <v/>
      </c>
      <c r="E868" s="30" t="str">
        <f>IFERROR(VLOOKUP(C868,T_CÓDIGO[#All],6,FALSE),"")</f>
        <v/>
      </c>
      <c r="F868" s="28"/>
      <c r="G868" s="30"/>
      <c r="H868" s="28"/>
      <c r="I868" s="30"/>
      <c r="J868" s="30"/>
      <c r="K868" s="30" t="str">
        <f>IFERROR(VLOOKUP(C868,T_CÓDIGO[#All],3,FALSE),"")</f>
        <v/>
      </c>
      <c r="L868" s="28"/>
      <c r="M868" s="28"/>
      <c r="N868" s="30"/>
    </row>
    <row r="869" spans="1:14" s="2" customFormat="1" ht="15" thickBot="1" x14ac:dyDescent="0.35">
      <c r="A869" s="29"/>
      <c r="B869" s="30">
        <f t="shared" si="13"/>
        <v>1</v>
      </c>
      <c r="C869" s="28"/>
      <c r="D869" s="35" t="str">
        <f>IFERROR(VLOOKUP(C869,T_CÓDIGO[#All],4,FALSE),"")</f>
        <v/>
      </c>
      <c r="E869" s="30" t="str">
        <f>IFERROR(VLOOKUP(C869,T_CÓDIGO[#All],6,FALSE),"")</f>
        <v/>
      </c>
      <c r="F869" s="28"/>
      <c r="G869" s="30"/>
      <c r="H869" s="28"/>
      <c r="I869" s="30"/>
      <c r="J869" s="30"/>
      <c r="K869" s="30" t="str">
        <f>IFERROR(VLOOKUP(C869,T_CÓDIGO[#All],3,FALSE),"")</f>
        <v/>
      </c>
      <c r="L869" s="28"/>
      <c r="M869" s="28"/>
      <c r="N869" s="30"/>
    </row>
    <row r="870" spans="1:14" s="2" customFormat="1" ht="15" thickBot="1" x14ac:dyDescent="0.35">
      <c r="A870" s="29"/>
      <c r="B870" s="30">
        <f t="shared" si="13"/>
        <v>1</v>
      </c>
      <c r="C870" s="28"/>
      <c r="D870" s="35" t="str">
        <f>IFERROR(VLOOKUP(C870,T_CÓDIGO[#All],4,FALSE),"")</f>
        <v/>
      </c>
      <c r="E870" s="30" t="str">
        <f>IFERROR(VLOOKUP(C870,T_CÓDIGO[#All],6,FALSE),"")</f>
        <v/>
      </c>
      <c r="F870" s="28"/>
      <c r="G870" s="30"/>
      <c r="H870" s="28"/>
      <c r="I870" s="30"/>
      <c r="J870" s="30"/>
      <c r="K870" s="30" t="str">
        <f>IFERROR(VLOOKUP(C870,T_CÓDIGO[#All],3,FALSE),"")</f>
        <v/>
      </c>
      <c r="L870" s="28"/>
      <c r="M870" s="28"/>
      <c r="N870" s="30"/>
    </row>
    <row r="871" spans="1:14" s="2" customFormat="1" ht="15" thickBot="1" x14ac:dyDescent="0.35">
      <c r="A871" s="29"/>
      <c r="B871" s="30">
        <f t="shared" si="13"/>
        <v>1</v>
      </c>
      <c r="C871" s="28"/>
      <c r="D871" s="35" t="str">
        <f>IFERROR(VLOOKUP(C871,T_CÓDIGO[#All],4,FALSE),"")</f>
        <v/>
      </c>
      <c r="E871" s="30" t="str">
        <f>IFERROR(VLOOKUP(C871,T_CÓDIGO[#All],6,FALSE),"")</f>
        <v/>
      </c>
      <c r="F871" s="28"/>
      <c r="G871" s="30"/>
      <c r="H871" s="28"/>
      <c r="I871" s="30"/>
      <c r="J871" s="30"/>
      <c r="K871" s="30" t="str">
        <f>IFERROR(VLOOKUP(C871,T_CÓDIGO[#All],3,FALSE),"")</f>
        <v/>
      </c>
      <c r="L871" s="28"/>
      <c r="M871" s="28"/>
      <c r="N871" s="30"/>
    </row>
    <row r="872" spans="1:14" s="2" customFormat="1" ht="15" thickBot="1" x14ac:dyDescent="0.35">
      <c r="A872" s="29"/>
      <c r="B872" s="30">
        <f t="shared" si="13"/>
        <v>1</v>
      </c>
      <c r="C872" s="28"/>
      <c r="D872" s="35" t="str">
        <f>IFERROR(VLOOKUP(C872,T_CÓDIGO[#All],4,FALSE),"")</f>
        <v/>
      </c>
      <c r="E872" s="30" t="str">
        <f>IFERROR(VLOOKUP(C872,T_CÓDIGO[#All],6,FALSE),"")</f>
        <v/>
      </c>
      <c r="F872" s="28"/>
      <c r="G872" s="30"/>
      <c r="H872" s="28"/>
      <c r="I872" s="30"/>
      <c r="J872" s="30"/>
      <c r="K872" s="30" t="str">
        <f>IFERROR(VLOOKUP(C872,T_CÓDIGO[#All],3,FALSE),"")</f>
        <v/>
      </c>
      <c r="L872" s="28"/>
      <c r="M872" s="28"/>
      <c r="N872" s="30"/>
    </row>
    <row r="873" spans="1:14" s="2" customFormat="1" ht="15" thickBot="1" x14ac:dyDescent="0.35">
      <c r="A873" s="29"/>
      <c r="B873" s="30">
        <f t="shared" si="13"/>
        <v>1</v>
      </c>
      <c r="C873" s="28"/>
      <c r="D873" s="35" t="str">
        <f>IFERROR(VLOOKUP(C873,T_CÓDIGO[#All],4,FALSE),"")</f>
        <v/>
      </c>
      <c r="E873" s="30" t="str">
        <f>IFERROR(VLOOKUP(C873,T_CÓDIGO[#All],6,FALSE),"")</f>
        <v/>
      </c>
      <c r="F873" s="28"/>
      <c r="G873" s="30"/>
      <c r="H873" s="28"/>
      <c r="I873" s="30"/>
      <c r="J873" s="30"/>
      <c r="K873" s="30" t="str">
        <f>IFERROR(VLOOKUP(C873,T_CÓDIGO[#All],3,FALSE),"")</f>
        <v/>
      </c>
      <c r="L873" s="28"/>
      <c r="M873" s="28"/>
      <c r="N873" s="30"/>
    </row>
    <row r="874" spans="1:14" s="2" customFormat="1" ht="15" thickBot="1" x14ac:dyDescent="0.35">
      <c r="A874" s="29"/>
      <c r="B874" s="30">
        <f t="shared" si="13"/>
        <v>1</v>
      </c>
      <c r="C874" s="28"/>
      <c r="D874" s="35" t="str">
        <f>IFERROR(VLOOKUP(C874,T_CÓDIGO[#All],4,FALSE),"")</f>
        <v/>
      </c>
      <c r="E874" s="30" t="str">
        <f>IFERROR(VLOOKUP(C874,T_CÓDIGO[#All],6,FALSE),"")</f>
        <v/>
      </c>
      <c r="F874" s="28"/>
      <c r="G874" s="30"/>
      <c r="H874" s="28"/>
      <c r="I874" s="30"/>
      <c r="J874" s="30"/>
      <c r="K874" s="30" t="str">
        <f>IFERROR(VLOOKUP(C874,T_CÓDIGO[#All],3,FALSE),"")</f>
        <v/>
      </c>
      <c r="L874" s="28"/>
      <c r="M874" s="28"/>
      <c r="N874" s="30"/>
    </row>
    <row r="875" spans="1:14" s="1" customFormat="1" ht="14.4" customHeight="1" x14ac:dyDescent="0.25">
      <c r="A875" s="99" t="s">
        <v>162</v>
      </c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1"/>
    </row>
    <row r="876" spans="1:14" s="1" customFormat="1" ht="18" customHeight="1" x14ac:dyDescent="0.25">
      <c r="A876" s="97" t="s">
        <v>163</v>
      </c>
      <c r="B876" s="97"/>
      <c r="C876" s="3" t="s">
        <v>164</v>
      </c>
      <c r="D876" s="97" t="s">
        <v>165</v>
      </c>
      <c r="E876" s="97"/>
      <c r="F876" s="97"/>
      <c r="G876" s="97" t="s">
        <v>166</v>
      </c>
      <c r="H876" s="97"/>
      <c r="I876" s="4"/>
      <c r="J876" s="4"/>
      <c r="K876" s="4"/>
      <c r="L876" s="4"/>
      <c r="M876" s="4"/>
      <c r="N876" s="4"/>
    </row>
    <row r="877" spans="1:14" s="5" customFormat="1" ht="29.4" customHeight="1" x14ac:dyDescent="0.25">
      <c r="A877" s="96" t="s">
        <v>167</v>
      </c>
      <c r="B877" s="96"/>
      <c r="C877" s="3" t="s">
        <v>168</v>
      </c>
      <c r="D877" s="97" t="s">
        <v>169</v>
      </c>
      <c r="E877" s="97"/>
      <c r="F877" s="97"/>
      <c r="G877" s="97" t="s">
        <v>170</v>
      </c>
      <c r="H877" s="97"/>
      <c r="I877" s="97" t="s">
        <v>171</v>
      </c>
      <c r="J877" s="97"/>
      <c r="K877" s="98"/>
      <c r="L877" s="98"/>
      <c r="M877" s="98"/>
      <c r="N877" s="98"/>
    </row>
  </sheetData>
  <autoFilter ref="A8:N877" xr:uid="{B109E1A7-163A-4BBB-83B5-4EABF7D51554}"/>
  <mergeCells count="12">
    <mergeCell ref="A1:N1"/>
    <mergeCell ref="A7:E7"/>
    <mergeCell ref="F7:N7"/>
    <mergeCell ref="A877:B877"/>
    <mergeCell ref="D877:F877"/>
    <mergeCell ref="G877:H877"/>
    <mergeCell ref="I877:J877"/>
    <mergeCell ref="K877:N877"/>
    <mergeCell ref="A875:N875"/>
    <mergeCell ref="A876:B876"/>
    <mergeCell ref="D876:F876"/>
    <mergeCell ref="G876:H876"/>
  </mergeCells>
  <conditionalFormatting sqref="D9:D874">
    <cfRule type="containsText" dxfId="82" priority="4" operator="containsText" text="M">
      <formula>NOT(ISERROR(SEARCH("M",D9)))</formula>
    </cfRule>
    <cfRule type="containsText" dxfId="81" priority="5" operator="containsText" text="H">
      <formula>NOT(ISERROR(SEARCH("H",D9)))</formula>
    </cfRule>
    <cfRule type="containsBlanks" dxfId="80" priority="7">
      <formula>LEN(TRIM(D9))=0</formula>
    </cfRule>
  </conditionalFormatting>
  <conditionalFormatting sqref="E9:E874">
    <cfRule type="containsBlanks" dxfId="79" priority="3">
      <formula>LEN(TRIM(E9))=0</formula>
    </cfRule>
  </conditionalFormatting>
  <conditionalFormatting sqref="K9:K874">
    <cfRule type="containsBlanks" dxfId="78" priority="2">
      <formula>LEN(TRIM(K9))=0</formula>
    </cfRule>
  </conditionalFormatting>
  <conditionalFormatting sqref="N9:N874">
    <cfRule type="iconSet" priority="1">
      <iconSet showValue="0">
        <cfvo type="percent" val="0"/>
        <cfvo type="num" val="2"/>
        <cfvo type="num" val="3"/>
      </iconSet>
    </cfRule>
  </conditionalFormatting>
  <pageMargins left="0.7" right="0.7" top="0.75" bottom="0.75" header="0.3" footer="0.3"/>
  <pageSetup scale="2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2C85A8C-8D0B-45D5-B57B-2817D3EC3CAA}">
          <x14:formula1>
            <xm:f>BASE!$A$4:$A$451</xm:f>
          </x14:formula1>
          <xm:sqref>C9:C874</xm:sqref>
        </x14:dataValidation>
        <x14:dataValidation type="list" allowBlank="1" showInputMessage="1" showErrorMessage="1" xr:uid="{DAB56486-589D-4751-BEBB-D1635493E720}">
          <x14:formula1>
            <xm:f>BASE!$I$4:$I$7</xm:f>
          </x14:formula1>
          <xm:sqref>F9:F874</xm:sqref>
        </x14:dataValidation>
        <x14:dataValidation type="list" allowBlank="1" showInputMessage="1" showErrorMessage="1" xr:uid="{11E3E4C0-0F1D-41F7-ADB5-DD9439CDA8A2}">
          <x14:formula1>
            <xm:f>BASE!$K$4:$K$5</xm:f>
          </x14:formula1>
          <xm:sqref>G9:G874 M9:M874</xm:sqref>
        </x14:dataValidation>
        <x14:dataValidation type="list" allowBlank="1" showInputMessage="1" showErrorMessage="1" xr:uid="{D09D3244-F11F-4C97-9865-1B377252A6FA}">
          <x14:formula1>
            <xm:f>BASE!$M$4:$M$23</xm:f>
          </x14:formula1>
          <xm:sqref>I9:I874</xm:sqref>
        </x14:dataValidation>
        <x14:dataValidation type="list" allowBlank="1" showInputMessage="1" showErrorMessage="1" xr:uid="{67B9D7A6-66EC-4265-9236-D819226EE57D}">
          <x14:formula1>
            <xm:f>BASE!$O$4:$O$5</xm:f>
          </x14:formula1>
          <xm:sqref>J9:J874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94FD-5A7F-4A6C-B7A0-2D17580EC6E2}">
  <sheetPr>
    <tabColor theme="1"/>
  </sheetPr>
  <dimension ref="A1:AV315"/>
  <sheetViews>
    <sheetView showGridLines="0" view="pageBreakPreview" zoomScaleNormal="90" zoomScaleSheetLayoutView="100" workbookViewId="0">
      <selection activeCell="K12" sqref="K12"/>
    </sheetView>
  </sheetViews>
  <sheetFormatPr baseColWidth="10" defaultColWidth="9.109375" defaultRowHeight="13.2" x14ac:dyDescent="0.25"/>
  <cols>
    <col min="1" max="1" width="9.109375" style="9" customWidth="1"/>
    <col min="2" max="2" width="33.109375" style="9" customWidth="1"/>
    <col min="3" max="4" width="4.33203125" style="9" customWidth="1"/>
    <col min="5" max="5" width="5.5546875" style="9" customWidth="1"/>
    <col min="6" max="26" width="4.33203125" style="9" customWidth="1"/>
    <col min="27" max="27" width="4.33203125" style="22" customWidth="1"/>
    <col min="28" max="33" width="4.33203125" style="9" customWidth="1"/>
    <col min="34" max="34" width="5.109375" style="9" customWidth="1"/>
    <col min="35" max="35" width="9.109375" style="9"/>
    <col min="36" max="36" width="33.6640625" style="9" customWidth="1"/>
    <col min="37" max="37" width="1.21875" style="9" customWidth="1"/>
    <col min="38" max="38" width="4.88671875" style="9" customWidth="1"/>
    <col min="39" max="39" width="5.109375" style="9" customWidth="1"/>
    <col min="40" max="40" width="5.33203125" style="9" customWidth="1"/>
    <col min="41" max="43" width="5.109375" style="9" customWidth="1"/>
    <col min="44" max="45" width="5.21875" style="9" customWidth="1"/>
    <col min="46" max="46" width="1.21875" style="9" customWidth="1"/>
    <col min="47" max="251" width="9.109375" style="9"/>
    <col min="252" max="252" width="3.6640625" style="9" customWidth="1"/>
    <col min="253" max="254" width="7.6640625" style="9" customWidth="1"/>
    <col min="255" max="255" width="22.44140625" style="9" customWidth="1"/>
    <col min="256" max="286" width="4.33203125" style="9" customWidth="1"/>
    <col min="287" max="287" width="5.109375" style="9" customWidth="1"/>
    <col min="288" max="288" width="4.109375" style="9" customWidth="1"/>
    <col min="289" max="289" width="4.33203125" style="9" customWidth="1"/>
    <col min="290" max="507" width="9.109375" style="9"/>
    <col min="508" max="508" width="3.6640625" style="9" customWidth="1"/>
    <col min="509" max="510" width="7.6640625" style="9" customWidth="1"/>
    <col min="511" max="511" width="22.44140625" style="9" customWidth="1"/>
    <col min="512" max="542" width="4.33203125" style="9" customWidth="1"/>
    <col min="543" max="543" width="5.109375" style="9" customWidth="1"/>
    <col min="544" max="544" width="4.109375" style="9" customWidth="1"/>
    <col min="545" max="545" width="4.33203125" style="9" customWidth="1"/>
    <col min="546" max="763" width="9.109375" style="9"/>
    <col min="764" max="764" width="3.6640625" style="9" customWidth="1"/>
    <col min="765" max="766" width="7.6640625" style="9" customWidth="1"/>
    <col min="767" max="767" width="22.44140625" style="9" customWidth="1"/>
    <col min="768" max="798" width="4.33203125" style="9" customWidth="1"/>
    <col min="799" max="799" width="5.109375" style="9" customWidth="1"/>
    <col min="800" max="800" width="4.109375" style="9" customWidth="1"/>
    <col min="801" max="801" width="4.33203125" style="9" customWidth="1"/>
    <col min="802" max="1019" width="9.109375" style="9"/>
    <col min="1020" max="1020" width="3.6640625" style="9" customWidth="1"/>
    <col min="1021" max="1022" width="7.6640625" style="9" customWidth="1"/>
    <col min="1023" max="1023" width="22.44140625" style="9" customWidth="1"/>
    <col min="1024" max="1054" width="4.33203125" style="9" customWidth="1"/>
    <col min="1055" max="1055" width="5.109375" style="9" customWidth="1"/>
    <col min="1056" max="1056" width="4.109375" style="9" customWidth="1"/>
    <col min="1057" max="1057" width="4.33203125" style="9" customWidth="1"/>
    <col min="1058" max="1275" width="9.109375" style="9"/>
    <col min="1276" max="1276" width="3.6640625" style="9" customWidth="1"/>
    <col min="1277" max="1278" width="7.6640625" style="9" customWidth="1"/>
    <col min="1279" max="1279" width="22.44140625" style="9" customWidth="1"/>
    <col min="1280" max="1310" width="4.33203125" style="9" customWidth="1"/>
    <col min="1311" max="1311" width="5.109375" style="9" customWidth="1"/>
    <col min="1312" max="1312" width="4.109375" style="9" customWidth="1"/>
    <col min="1313" max="1313" width="4.33203125" style="9" customWidth="1"/>
    <col min="1314" max="1531" width="9.109375" style="9"/>
    <col min="1532" max="1532" width="3.6640625" style="9" customWidth="1"/>
    <col min="1533" max="1534" width="7.6640625" style="9" customWidth="1"/>
    <col min="1535" max="1535" width="22.44140625" style="9" customWidth="1"/>
    <col min="1536" max="1566" width="4.33203125" style="9" customWidth="1"/>
    <col min="1567" max="1567" width="5.109375" style="9" customWidth="1"/>
    <col min="1568" max="1568" width="4.109375" style="9" customWidth="1"/>
    <col min="1569" max="1569" width="4.33203125" style="9" customWidth="1"/>
    <col min="1570" max="1787" width="9.109375" style="9"/>
    <col min="1788" max="1788" width="3.6640625" style="9" customWidth="1"/>
    <col min="1789" max="1790" width="7.6640625" style="9" customWidth="1"/>
    <col min="1791" max="1791" width="22.44140625" style="9" customWidth="1"/>
    <col min="1792" max="1822" width="4.33203125" style="9" customWidth="1"/>
    <col min="1823" max="1823" width="5.109375" style="9" customWidth="1"/>
    <col min="1824" max="1824" width="4.109375" style="9" customWidth="1"/>
    <col min="1825" max="1825" width="4.33203125" style="9" customWidth="1"/>
    <col min="1826" max="2043" width="9.109375" style="9"/>
    <col min="2044" max="2044" width="3.6640625" style="9" customWidth="1"/>
    <col min="2045" max="2046" width="7.6640625" style="9" customWidth="1"/>
    <col min="2047" max="2047" width="22.44140625" style="9" customWidth="1"/>
    <col min="2048" max="2078" width="4.33203125" style="9" customWidth="1"/>
    <col min="2079" max="2079" width="5.109375" style="9" customWidth="1"/>
    <col min="2080" max="2080" width="4.109375" style="9" customWidth="1"/>
    <col min="2081" max="2081" width="4.33203125" style="9" customWidth="1"/>
    <col min="2082" max="2299" width="9.109375" style="9"/>
    <col min="2300" max="2300" width="3.6640625" style="9" customWidth="1"/>
    <col min="2301" max="2302" width="7.6640625" style="9" customWidth="1"/>
    <col min="2303" max="2303" width="22.44140625" style="9" customWidth="1"/>
    <col min="2304" max="2334" width="4.33203125" style="9" customWidth="1"/>
    <col min="2335" max="2335" width="5.109375" style="9" customWidth="1"/>
    <col min="2336" max="2336" width="4.109375" style="9" customWidth="1"/>
    <col min="2337" max="2337" width="4.33203125" style="9" customWidth="1"/>
    <col min="2338" max="2555" width="9.109375" style="9"/>
    <col min="2556" max="2556" width="3.6640625" style="9" customWidth="1"/>
    <col min="2557" max="2558" width="7.6640625" style="9" customWidth="1"/>
    <col min="2559" max="2559" width="22.44140625" style="9" customWidth="1"/>
    <col min="2560" max="2590" width="4.33203125" style="9" customWidth="1"/>
    <col min="2591" max="2591" width="5.109375" style="9" customWidth="1"/>
    <col min="2592" max="2592" width="4.109375" style="9" customWidth="1"/>
    <col min="2593" max="2593" width="4.33203125" style="9" customWidth="1"/>
    <col min="2594" max="2811" width="9.109375" style="9"/>
    <col min="2812" max="2812" width="3.6640625" style="9" customWidth="1"/>
    <col min="2813" max="2814" width="7.6640625" style="9" customWidth="1"/>
    <col min="2815" max="2815" width="22.44140625" style="9" customWidth="1"/>
    <col min="2816" max="2846" width="4.33203125" style="9" customWidth="1"/>
    <col min="2847" max="2847" width="5.109375" style="9" customWidth="1"/>
    <col min="2848" max="2848" width="4.109375" style="9" customWidth="1"/>
    <col min="2849" max="2849" width="4.33203125" style="9" customWidth="1"/>
    <col min="2850" max="3067" width="9.109375" style="9"/>
    <col min="3068" max="3068" width="3.6640625" style="9" customWidth="1"/>
    <col min="3069" max="3070" width="7.6640625" style="9" customWidth="1"/>
    <col min="3071" max="3071" width="22.44140625" style="9" customWidth="1"/>
    <col min="3072" max="3102" width="4.33203125" style="9" customWidth="1"/>
    <col min="3103" max="3103" width="5.109375" style="9" customWidth="1"/>
    <col min="3104" max="3104" width="4.109375" style="9" customWidth="1"/>
    <col min="3105" max="3105" width="4.33203125" style="9" customWidth="1"/>
    <col min="3106" max="3323" width="9.109375" style="9"/>
    <col min="3324" max="3324" width="3.6640625" style="9" customWidth="1"/>
    <col min="3325" max="3326" width="7.6640625" style="9" customWidth="1"/>
    <col min="3327" max="3327" width="22.44140625" style="9" customWidth="1"/>
    <col min="3328" max="3358" width="4.33203125" style="9" customWidth="1"/>
    <col min="3359" max="3359" width="5.109375" style="9" customWidth="1"/>
    <col min="3360" max="3360" width="4.109375" style="9" customWidth="1"/>
    <col min="3361" max="3361" width="4.33203125" style="9" customWidth="1"/>
    <col min="3362" max="3579" width="9.109375" style="9"/>
    <col min="3580" max="3580" width="3.6640625" style="9" customWidth="1"/>
    <col min="3581" max="3582" width="7.6640625" style="9" customWidth="1"/>
    <col min="3583" max="3583" width="22.44140625" style="9" customWidth="1"/>
    <col min="3584" max="3614" width="4.33203125" style="9" customWidth="1"/>
    <col min="3615" max="3615" width="5.109375" style="9" customWidth="1"/>
    <col min="3616" max="3616" width="4.109375" style="9" customWidth="1"/>
    <col min="3617" max="3617" width="4.33203125" style="9" customWidth="1"/>
    <col min="3618" max="3835" width="9.109375" style="9"/>
    <col min="3836" max="3836" width="3.6640625" style="9" customWidth="1"/>
    <col min="3837" max="3838" width="7.6640625" style="9" customWidth="1"/>
    <col min="3839" max="3839" width="22.44140625" style="9" customWidth="1"/>
    <col min="3840" max="3870" width="4.33203125" style="9" customWidth="1"/>
    <col min="3871" max="3871" width="5.109375" style="9" customWidth="1"/>
    <col min="3872" max="3872" width="4.109375" style="9" customWidth="1"/>
    <col min="3873" max="3873" width="4.33203125" style="9" customWidth="1"/>
    <col min="3874" max="4091" width="9.109375" style="9"/>
    <col min="4092" max="4092" width="3.6640625" style="9" customWidth="1"/>
    <col min="4093" max="4094" width="7.6640625" style="9" customWidth="1"/>
    <col min="4095" max="4095" width="22.44140625" style="9" customWidth="1"/>
    <col min="4096" max="4126" width="4.33203125" style="9" customWidth="1"/>
    <col min="4127" max="4127" width="5.109375" style="9" customWidth="1"/>
    <col min="4128" max="4128" width="4.109375" style="9" customWidth="1"/>
    <col min="4129" max="4129" width="4.33203125" style="9" customWidth="1"/>
    <col min="4130" max="4347" width="9.109375" style="9"/>
    <col min="4348" max="4348" width="3.6640625" style="9" customWidth="1"/>
    <col min="4349" max="4350" width="7.6640625" style="9" customWidth="1"/>
    <col min="4351" max="4351" width="22.44140625" style="9" customWidth="1"/>
    <col min="4352" max="4382" width="4.33203125" style="9" customWidth="1"/>
    <col min="4383" max="4383" width="5.109375" style="9" customWidth="1"/>
    <col min="4384" max="4384" width="4.109375" style="9" customWidth="1"/>
    <col min="4385" max="4385" width="4.33203125" style="9" customWidth="1"/>
    <col min="4386" max="4603" width="9.109375" style="9"/>
    <col min="4604" max="4604" width="3.6640625" style="9" customWidth="1"/>
    <col min="4605" max="4606" width="7.6640625" style="9" customWidth="1"/>
    <col min="4607" max="4607" width="22.44140625" style="9" customWidth="1"/>
    <col min="4608" max="4638" width="4.33203125" style="9" customWidth="1"/>
    <col min="4639" max="4639" width="5.109375" style="9" customWidth="1"/>
    <col min="4640" max="4640" width="4.109375" style="9" customWidth="1"/>
    <col min="4641" max="4641" width="4.33203125" style="9" customWidth="1"/>
    <col min="4642" max="4859" width="9.109375" style="9"/>
    <col min="4860" max="4860" width="3.6640625" style="9" customWidth="1"/>
    <col min="4861" max="4862" width="7.6640625" style="9" customWidth="1"/>
    <col min="4863" max="4863" width="22.44140625" style="9" customWidth="1"/>
    <col min="4864" max="4894" width="4.33203125" style="9" customWidth="1"/>
    <col min="4895" max="4895" width="5.109375" style="9" customWidth="1"/>
    <col min="4896" max="4896" width="4.109375" style="9" customWidth="1"/>
    <col min="4897" max="4897" width="4.33203125" style="9" customWidth="1"/>
    <col min="4898" max="5115" width="9.109375" style="9"/>
    <col min="5116" max="5116" width="3.6640625" style="9" customWidth="1"/>
    <col min="5117" max="5118" width="7.6640625" style="9" customWidth="1"/>
    <col min="5119" max="5119" width="22.44140625" style="9" customWidth="1"/>
    <col min="5120" max="5150" width="4.33203125" style="9" customWidth="1"/>
    <col min="5151" max="5151" width="5.109375" style="9" customWidth="1"/>
    <col min="5152" max="5152" width="4.109375" style="9" customWidth="1"/>
    <col min="5153" max="5153" width="4.33203125" style="9" customWidth="1"/>
    <col min="5154" max="5371" width="9.109375" style="9"/>
    <col min="5372" max="5372" width="3.6640625" style="9" customWidth="1"/>
    <col min="5373" max="5374" width="7.6640625" style="9" customWidth="1"/>
    <col min="5375" max="5375" width="22.44140625" style="9" customWidth="1"/>
    <col min="5376" max="5406" width="4.33203125" style="9" customWidth="1"/>
    <col min="5407" max="5407" width="5.109375" style="9" customWidth="1"/>
    <col min="5408" max="5408" width="4.109375" style="9" customWidth="1"/>
    <col min="5409" max="5409" width="4.33203125" style="9" customWidth="1"/>
    <col min="5410" max="5627" width="9.109375" style="9"/>
    <col min="5628" max="5628" width="3.6640625" style="9" customWidth="1"/>
    <col min="5629" max="5630" width="7.6640625" style="9" customWidth="1"/>
    <col min="5631" max="5631" width="22.44140625" style="9" customWidth="1"/>
    <col min="5632" max="5662" width="4.33203125" style="9" customWidth="1"/>
    <col min="5663" max="5663" width="5.109375" style="9" customWidth="1"/>
    <col min="5664" max="5664" width="4.109375" style="9" customWidth="1"/>
    <col min="5665" max="5665" width="4.33203125" style="9" customWidth="1"/>
    <col min="5666" max="5883" width="9.109375" style="9"/>
    <col min="5884" max="5884" width="3.6640625" style="9" customWidth="1"/>
    <col min="5885" max="5886" width="7.6640625" style="9" customWidth="1"/>
    <col min="5887" max="5887" width="22.44140625" style="9" customWidth="1"/>
    <col min="5888" max="5918" width="4.33203125" style="9" customWidth="1"/>
    <col min="5919" max="5919" width="5.109375" style="9" customWidth="1"/>
    <col min="5920" max="5920" width="4.109375" style="9" customWidth="1"/>
    <col min="5921" max="5921" width="4.33203125" style="9" customWidth="1"/>
    <col min="5922" max="6139" width="9.109375" style="9"/>
    <col min="6140" max="6140" width="3.6640625" style="9" customWidth="1"/>
    <col min="6141" max="6142" width="7.6640625" style="9" customWidth="1"/>
    <col min="6143" max="6143" width="22.44140625" style="9" customWidth="1"/>
    <col min="6144" max="6174" width="4.33203125" style="9" customWidth="1"/>
    <col min="6175" max="6175" width="5.109375" style="9" customWidth="1"/>
    <col min="6176" max="6176" width="4.109375" style="9" customWidth="1"/>
    <col min="6177" max="6177" width="4.33203125" style="9" customWidth="1"/>
    <col min="6178" max="6395" width="9.109375" style="9"/>
    <col min="6396" max="6396" width="3.6640625" style="9" customWidth="1"/>
    <col min="6397" max="6398" width="7.6640625" style="9" customWidth="1"/>
    <col min="6399" max="6399" width="22.44140625" style="9" customWidth="1"/>
    <col min="6400" max="6430" width="4.33203125" style="9" customWidth="1"/>
    <col min="6431" max="6431" width="5.109375" style="9" customWidth="1"/>
    <col min="6432" max="6432" width="4.109375" style="9" customWidth="1"/>
    <col min="6433" max="6433" width="4.33203125" style="9" customWidth="1"/>
    <col min="6434" max="6651" width="9.109375" style="9"/>
    <col min="6652" max="6652" width="3.6640625" style="9" customWidth="1"/>
    <col min="6653" max="6654" width="7.6640625" style="9" customWidth="1"/>
    <col min="6655" max="6655" width="22.44140625" style="9" customWidth="1"/>
    <col min="6656" max="6686" width="4.33203125" style="9" customWidth="1"/>
    <col min="6687" max="6687" width="5.109375" style="9" customWidth="1"/>
    <col min="6688" max="6688" width="4.109375" style="9" customWidth="1"/>
    <col min="6689" max="6689" width="4.33203125" style="9" customWidth="1"/>
    <col min="6690" max="6907" width="9.109375" style="9"/>
    <col min="6908" max="6908" width="3.6640625" style="9" customWidth="1"/>
    <col min="6909" max="6910" width="7.6640625" style="9" customWidth="1"/>
    <col min="6911" max="6911" width="22.44140625" style="9" customWidth="1"/>
    <col min="6912" max="6942" width="4.33203125" style="9" customWidth="1"/>
    <col min="6943" max="6943" width="5.109375" style="9" customWidth="1"/>
    <col min="6944" max="6944" width="4.109375" style="9" customWidth="1"/>
    <col min="6945" max="6945" width="4.33203125" style="9" customWidth="1"/>
    <col min="6946" max="7163" width="9.109375" style="9"/>
    <col min="7164" max="7164" width="3.6640625" style="9" customWidth="1"/>
    <col min="7165" max="7166" width="7.6640625" style="9" customWidth="1"/>
    <col min="7167" max="7167" width="22.44140625" style="9" customWidth="1"/>
    <col min="7168" max="7198" width="4.33203125" style="9" customWidth="1"/>
    <col min="7199" max="7199" width="5.109375" style="9" customWidth="1"/>
    <col min="7200" max="7200" width="4.109375" style="9" customWidth="1"/>
    <col min="7201" max="7201" width="4.33203125" style="9" customWidth="1"/>
    <col min="7202" max="7419" width="9.109375" style="9"/>
    <col min="7420" max="7420" width="3.6640625" style="9" customWidth="1"/>
    <col min="7421" max="7422" width="7.6640625" style="9" customWidth="1"/>
    <col min="7423" max="7423" width="22.44140625" style="9" customWidth="1"/>
    <col min="7424" max="7454" width="4.33203125" style="9" customWidth="1"/>
    <col min="7455" max="7455" width="5.109375" style="9" customWidth="1"/>
    <col min="7456" max="7456" width="4.109375" style="9" customWidth="1"/>
    <col min="7457" max="7457" width="4.33203125" style="9" customWidth="1"/>
    <col min="7458" max="7675" width="9.109375" style="9"/>
    <col min="7676" max="7676" width="3.6640625" style="9" customWidth="1"/>
    <col min="7677" max="7678" width="7.6640625" style="9" customWidth="1"/>
    <col min="7679" max="7679" width="22.44140625" style="9" customWidth="1"/>
    <col min="7680" max="7710" width="4.33203125" style="9" customWidth="1"/>
    <col min="7711" max="7711" width="5.109375" style="9" customWidth="1"/>
    <col min="7712" max="7712" width="4.109375" style="9" customWidth="1"/>
    <col min="7713" max="7713" width="4.33203125" style="9" customWidth="1"/>
    <col min="7714" max="7931" width="9.109375" style="9"/>
    <col min="7932" max="7932" width="3.6640625" style="9" customWidth="1"/>
    <col min="7933" max="7934" width="7.6640625" style="9" customWidth="1"/>
    <col min="7935" max="7935" width="22.44140625" style="9" customWidth="1"/>
    <col min="7936" max="7966" width="4.33203125" style="9" customWidth="1"/>
    <col min="7967" max="7967" width="5.109375" style="9" customWidth="1"/>
    <col min="7968" max="7968" width="4.109375" style="9" customWidth="1"/>
    <col min="7969" max="7969" width="4.33203125" style="9" customWidth="1"/>
    <col min="7970" max="8187" width="9.109375" style="9"/>
    <col min="8188" max="8188" width="3.6640625" style="9" customWidth="1"/>
    <col min="8189" max="8190" width="7.6640625" style="9" customWidth="1"/>
    <col min="8191" max="8191" width="22.44140625" style="9" customWidth="1"/>
    <col min="8192" max="8222" width="4.33203125" style="9" customWidth="1"/>
    <col min="8223" max="8223" width="5.109375" style="9" customWidth="1"/>
    <col min="8224" max="8224" width="4.109375" style="9" customWidth="1"/>
    <col min="8225" max="8225" width="4.33203125" style="9" customWidth="1"/>
    <col min="8226" max="8443" width="9.109375" style="9"/>
    <col min="8444" max="8444" width="3.6640625" style="9" customWidth="1"/>
    <col min="8445" max="8446" width="7.6640625" style="9" customWidth="1"/>
    <col min="8447" max="8447" width="22.44140625" style="9" customWidth="1"/>
    <col min="8448" max="8478" width="4.33203125" style="9" customWidth="1"/>
    <col min="8479" max="8479" width="5.109375" style="9" customWidth="1"/>
    <col min="8480" max="8480" width="4.109375" style="9" customWidth="1"/>
    <col min="8481" max="8481" width="4.33203125" style="9" customWidth="1"/>
    <col min="8482" max="8699" width="9.109375" style="9"/>
    <col min="8700" max="8700" width="3.6640625" style="9" customWidth="1"/>
    <col min="8701" max="8702" width="7.6640625" style="9" customWidth="1"/>
    <col min="8703" max="8703" width="22.44140625" style="9" customWidth="1"/>
    <col min="8704" max="8734" width="4.33203125" style="9" customWidth="1"/>
    <col min="8735" max="8735" width="5.109375" style="9" customWidth="1"/>
    <col min="8736" max="8736" width="4.109375" style="9" customWidth="1"/>
    <col min="8737" max="8737" width="4.33203125" style="9" customWidth="1"/>
    <col min="8738" max="8955" width="9.109375" style="9"/>
    <col min="8956" max="8956" width="3.6640625" style="9" customWidth="1"/>
    <col min="8957" max="8958" width="7.6640625" style="9" customWidth="1"/>
    <col min="8959" max="8959" width="22.44140625" style="9" customWidth="1"/>
    <col min="8960" max="8990" width="4.33203125" style="9" customWidth="1"/>
    <col min="8991" max="8991" width="5.109375" style="9" customWidth="1"/>
    <col min="8992" max="8992" width="4.109375" style="9" customWidth="1"/>
    <col min="8993" max="8993" width="4.33203125" style="9" customWidth="1"/>
    <col min="8994" max="9211" width="9.109375" style="9"/>
    <col min="9212" max="9212" width="3.6640625" style="9" customWidth="1"/>
    <col min="9213" max="9214" width="7.6640625" style="9" customWidth="1"/>
    <col min="9215" max="9215" width="22.44140625" style="9" customWidth="1"/>
    <col min="9216" max="9246" width="4.33203125" style="9" customWidth="1"/>
    <col min="9247" max="9247" width="5.109375" style="9" customWidth="1"/>
    <col min="9248" max="9248" width="4.109375" style="9" customWidth="1"/>
    <col min="9249" max="9249" width="4.33203125" style="9" customWidth="1"/>
    <col min="9250" max="9467" width="9.109375" style="9"/>
    <col min="9468" max="9468" width="3.6640625" style="9" customWidth="1"/>
    <col min="9469" max="9470" width="7.6640625" style="9" customWidth="1"/>
    <col min="9471" max="9471" width="22.44140625" style="9" customWidth="1"/>
    <col min="9472" max="9502" width="4.33203125" style="9" customWidth="1"/>
    <col min="9503" max="9503" width="5.109375" style="9" customWidth="1"/>
    <col min="9504" max="9504" width="4.109375" style="9" customWidth="1"/>
    <col min="9505" max="9505" width="4.33203125" style="9" customWidth="1"/>
    <col min="9506" max="9723" width="9.109375" style="9"/>
    <col min="9724" max="9724" width="3.6640625" style="9" customWidth="1"/>
    <col min="9725" max="9726" width="7.6640625" style="9" customWidth="1"/>
    <col min="9727" max="9727" width="22.44140625" style="9" customWidth="1"/>
    <col min="9728" max="9758" width="4.33203125" style="9" customWidth="1"/>
    <col min="9759" max="9759" width="5.109375" style="9" customWidth="1"/>
    <col min="9760" max="9760" width="4.109375" style="9" customWidth="1"/>
    <col min="9761" max="9761" width="4.33203125" style="9" customWidth="1"/>
    <col min="9762" max="9979" width="9.109375" style="9"/>
    <col min="9980" max="9980" width="3.6640625" style="9" customWidth="1"/>
    <col min="9981" max="9982" width="7.6640625" style="9" customWidth="1"/>
    <col min="9983" max="9983" width="22.44140625" style="9" customWidth="1"/>
    <col min="9984" max="10014" width="4.33203125" style="9" customWidth="1"/>
    <col min="10015" max="10015" width="5.109375" style="9" customWidth="1"/>
    <col min="10016" max="10016" width="4.109375" style="9" customWidth="1"/>
    <col min="10017" max="10017" width="4.33203125" style="9" customWidth="1"/>
    <col min="10018" max="10235" width="9.109375" style="9"/>
    <col min="10236" max="10236" width="3.6640625" style="9" customWidth="1"/>
    <col min="10237" max="10238" width="7.6640625" style="9" customWidth="1"/>
    <col min="10239" max="10239" width="22.44140625" style="9" customWidth="1"/>
    <col min="10240" max="10270" width="4.33203125" style="9" customWidth="1"/>
    <col min="10271" max="10271" width="5.109375" style="9" customWidth="1"/>
    <col min="10272" max="10272" width="4.109375" style="9" customWidth="1"/>
    <col min="10273" max="10273" width="4.33203125" style="9" customWidth="1"/>
    <col min="10274" max="10491" width="9.109375" style="9"/>
    <col min="10492" max="10492" width="3.6640625" style="9" customWidth="1"/>
    <col min="10493" max="10494" width="7.6640625" style="9" customWidth="1"/>
    <col min="10495" max="10495" width="22.44140625" style="9" customWidth="1"/>
    <col min="10496" max="10526" width="4.33203125" style="9" customWidth="1"/>
    <col min="10527" max="10527" width="5.109375" style="9" customWidth="1"/>
    <col min="10528" max="10528" width="4.109375" style="9" customWidth="1"/>
    <col min="10529" max="10529" width="4.33203125" style="9" customWidth="1"/>
    <col min="10530" max="10747" width="9.109375" style="9"/>
    <col min="10748" max="10748" width="3.6640625" style="9" customWidth="1"/>
    <col min="10749" max="10750" width="7.6640625" style="9" customWidth="1"/>
    <col min="10751" max="10751" width="22.44140625" style="9" customWidth="1"/>
    <col min="10752" max="10782" width="4.33203125" style="9" customWidth="1"/>
    <col min="10783" max="10783" width="5.109375" style="9" customWidth="1"/>
    <col min="10784" max="10784" width="4.109375" style="9" customWidth="1"/>
    <col min="10785" max="10785" width="4.33203125" style="9" customWidth="1"/>
    <col min="10786" max="11003" width="9.109375" style="9"/>
    <col min="11004" max="11004" width="3.6640625" style="9" customWidth="1"/>
    <col min="11005" max="11006" width="7.6640625" style="9" customWidth="1"/>
    <col min="11007" max="11007" width="22.44140625" style="9" customWidth="1"/>
    <col min="11008" max="11038" width="4.33203125" style="9" customWidth="1"/>
    <col min="11039" max="11039" width="5.109375" style="9" customWidth="1"/>
    <col min="11040" max="11040" width="4.109375" style="9" customWidth="1"/>
    <col min="11041" max="11041" width="4.33203125" style="9" customWidth="1"/>
    <col min="11042" max="11259" width="9.109375" style="9"/>
    <col min="11260" max="11260" width="3.6640625" style="9" customWidth="1"/>
    <col min="11261" max="11262" width="7.6640625" style="9" customWidth="1"/>
    <col min="11263" max="11263" width="22.44140625" style="9" customWidth="1"/>
    <col min="11264" max="11294" width="4.33203125" style="9" customWidth="1"/>
    <col min="11295" max="11295" width="5.109375" style="9" customWidth="1"/>
    <col min="11296" max="11296" width="4.109375" style="9" customWidth="1"/>
    <col min="11297" max="11297" width="4.33203125" style="9" customWidth="1"/>
    <col min="11298" max="11515" width="9.109375" style="9"/>
    <col min="11516" max="11516" width="3.6640625" style="9" customWidth="1"/>
    <col min="11517" max="11518" width="7.6640625" style="9" customWidth="1"/>
    <col min="11519" max="11519" width="22.44140625" style="9" customWidth="1"/>
    <col min="11520" max="11550" width="4.33203125" style="9" customWidth="1"/>
    <col min="11551" max="11551" width="5.109375" style="9" customWidth="1"/>
    <col min="11552" max="11552" width="4.109375" style="9" customWidth="1"/>
    <col min="11553" max="11553" width="4.33203125" style="9" customWidth="1"/>
    <col min="11554" max="11771" width="9.109375" style="9"/>
    <col min="11772" max="11772" width="3.6640625" style="9" customWidth="1"/>
    <col min="11773" max="11774" width="7.6640625" style="9" customWidth="1"/>
    <col min="11775" max="11775" width="22.44140625" style="9" customWidth="1"/>
    <col min="11776" max="11806" width="4.33203125" style="9" customWidth="1"/>
    <col min="11807" max="11807" width="5.109375" style="9" customWidth="1"/>
    <col min="11808" max="11808" width="4.109375" style="9" customWidth="1"/>
    <col min="11809" max="11809" width="4.33203125" style="9" customWidth="1"/>
    <col min="11810" max="12027" width="9.109375" style="9"/>
    <col min="12028" max="12028" width="3.6640625" style="9" customWidth="1"/>
    <col min="12029" max="12030" width="7.6640625" style="9" customWidth="1"/>
    <col min="12031" max="12031" width="22.44140625" style="9" customWidth="1"/>
    <col min="12032" max="12062" width="4.33203125" style="9" customWidth="1"/>
    <col min="12063" max="12063" width="5.109375" style="9" customWidth="1"/>
    <col min="12064" max="12064" width="4.109375" style="9" customWidth="1"/>
    <col min="12065" max="12065" width="4.33203125" style="9" customWidth="1"/>
    <col min="12066" max="12283" width="9.109375" style="9"/>
    <col min="12284" max="12284" width="3.6640625" style="9" customWidth="1"/>
    <col min="12285" max="12286" width="7.6640625" style="9" customWidth="1"/>
    <col min="12287" max="12287" width="22.44140625" style="9" customWidth="1"/>
    <col min="12288" max="12318" width="4.33203125" style="9" customWidth="1"/>
    <col min="12319" max="12319" width="5.109375" style="9" customWidth="1"/>
    <col min="12320" max="12320" width="4.109375" style="9" customWidth="1"/>
    <col min="12321" max="12321" width="4.33203125" style="9" customWidth="1"/>
    <col min="12322" max="12539" width="9.109375" style="9"/>
    <col min="12540" max="12540" width="3.6640625" style="9" customWidth="1"/>
    <col min="12541" max="12542" width="7.6640625" style="9" customWidth="1"/>
    <col min="12543" max="12543" width="22.44140625" style="9" customWidth="1"/>
    <col min="12544" max="12574" width="4.33203125" style="9" customWidth="1"/>
    <col min="12575" max="12575" width="5.109375" style="9" customWidth="1"/>
    <col min="12576" max="12576" width="4.109375" style="9" customWidth="1"/>
    <col min="12577" max="12577" width="4.33203125" style="9" customWidth="1"/>
    <col min="12578" max="12795" width="9.109375" style="9"/>
    <col min="12796" max="12796" width="3.6640625" style="9" customWidth="1"/>
    <col min="12797" max="12798" width="7.6640625" style="9" customWidth="1"/>
    <col min="12799" max="12799" width="22.44140625" style="9" customWidth="1"/>
    <col min="12800" max="12830" width="4.33203125" style="9" customWidth="1"/>
    <col min="12831" max="12831" width="5.109375" style="9" customWidth="1"/>
    <col min="12832" max="12832" width="4.109375" style="9" customWidth="1"/>
    <col min="12833" max="12833" width="4.33203125" style="9" customWidth="1"/>
    <col min="12834" max="13051" width="9.109375" style="9"/>
    <col min="13052" max="13052" width="3.6640625" style="9" customWidth="1"/>
    <col min="13053" max="13054" width="7.6640625" style="9" customWidth="1"/>
    <col min="13055" max="13055" width="22.44140625" style="9" customWidth="1"/>
    <col min="13056" max="13086" width="4.33203125" style="9" customWidth="1"/>
    <col min="13087" max="13087" width="5.109375" style="9" customWidth="1"/>
    <col min="13088" max="13088" width="4.109375" style="9" customWidth="1"/>
    <col min="13089" max="13089" width="4.33203125" style="9" customWidth="1"/>
    <col min="13090" max="13307" width="9.109375" style="9"/>
    <col min="13308" max="13308" width="3.6640625" style="9" customWidth="1"/>
    <col min="13309" max="13310" width="7.6640625" style="9" customWidth="1"/>
    <col min="13311" max="13311" width="22.44140625" style="9" customWidth="1"/>
    <col min="13312" max="13342" width="4.33203125" style="9" customWidth="1"/>
    <col min="13343" max="13343" width="5.109375" style="9" customWidth="1"/>
    <col min="13344" max="13344" width="4.109375" style="9" customWidth="1"/>
    <col min="13345" max="13345" width="4.33203125" style="9" customWidth="1"/>
    <col min="13346" max="13563" width="9.109375" style="9"/>
    <col min="13564" max="13564" width="3.6640625" style="9" customWidth="1"/>
    <col min="13565" max="13566" width="7.6640625" style="9" customWidth="1"/>
    <col min="13567" max="13567" width="22.44140625" style="9" customWidth="1"/>
    <col min="13568" max="13598" width="4.33203125" style="9" customWidth="1"/>
    <col min="13599" max="13599" width="5.109375" style="9" customWidth="1"/>
    <col min="13600" max="13600" width="4.109375" style="9" customWidth="1"/>
    <col min="13601" max="13601" width="4.33203125" style="9" customWidth="1"/>
    <col min="13602" max="13819" width="9.109375" style="9"/>
    <col min="13820" max="13820" width="3.6640625" style="9" customWidth="1"/>
    <col min="13821" max="13822" width="7.6640625" style="9" customWidth="1"/>
    <col min="13823" max="13823" width="22.44140625" style="9" customWidth="1"/>
    <col min="13824" max="13854" width="4.33203125" style="9" customWidth="1"/>
    <col min="13855" max="13855" width="5.109375" style="9" customWidth="1"/>
    <col min="13856" max="13856" width="4.109375" style="9" customWidth="1"/>
    <col min="13857" max="13857" width="4.33203125" style="9" customWidth="1"/>
    <col min="13858" max="14075" width="9.109375" style="9"/>
    <col min="14076" max="14076" width="3.6640625" style="9" customWidth="1"/>
    <col min="14077" max="14078" width="7.6640625" style="9" customWidth="1"/>
    <col min="14079" max="14079" width="22.44140625" style="9" customWidth="1"/>
    <col min="14080" max="14110" width="4.33203125" style="9" customWidth="1"/>
    <col min="14111" max="14111" width="5.109375" style="9" customWidth="1"/>
    <col min="14112" max="14112" width="4.109375" style="9" customWidth="1"/>
    <col min="14113" max="14113" width="4.33203125" style="9" customWidth="1"/>
    <col min="14114" max="14331" width="9.109375" style="9"/>
    <col min="14332" max="14332" width="3.6640625" style="9" customWidth="1"/>
    <col min="14333" max="14334" width="7.6640625" style="9" customWidth="1"/>
    <col min="14335" max="14335" width="22.44140625" style="9" customWidth="1"/>
    <col min="14336" max="14366" width="4.33203125" style="9" customWidth="1"/>
    <col min="14367" max="14367" width="5.109375" style="9" customWidth="1"/>
    <col min="14368" max="14368" width="4.109375" style="9" customWidth="1"/>
    <col min="14369" max="14369" width="4.33203125" style="9" customWidth="1"/>
    <col min="14370" max="14587" width="9.109375" style="9"/>
    <col min="14588" max="14588" width="3.6640625" style="9" customWidth="1"/>
    <col min="14589" max="14590" width="7.6640625" style="9" customWidth="1"/>
    <col min="14591" max="14591" width="22.44140625" style="9" customWidth="1"/>
    <col min="14592" max="14622" width="4.33203125" style="9" customWidth="1"/>
    <col min="14623" max="14623" width="5.109375" style="9" customWidth="1"/>
    <col min="14624" max="14624" width="4.109375" style="9" customWidth="1"/>
    <col min="14625" max="14625" width="4.33203125" style="9" customWidth="1"/>
    <col min="14626" max="14843" width="9.109375" style="9"/>
    <col min="14844" max="14844" width="3.6640625" style="9" customWidth="1"/>
    <col min="14845" max="14846" width="7.6640625" style="9" customWidth="1"/>
    <col min="14847" max="14847" width="22.44140625" style="9" customWidth="1"/>
    <col min="14848" max="14878" width="4.33203125" style="9" customWidth="1"/>
    <col min="14879" max="14879" width="5.109375" style="9" customWidth="1"/>
    <col min="14880" max="14880" width="4.109375" style="9" customWidth="1"/>
    <col min="14881" max="14881" width="4.33203125" style="9" customWidth="1"/>
    <col min="14882" max="15099" width="9.109375" style="9"/>
    <col min="15100" max="15100" width="3.6640625" style="9" customWidth="1"/>
    <col min="15101" max="15102" width="7.6640625" style="9" customWidth="1"/>
    <col min="15103" max="15103" width="22.44140625" style="9" customWidth="1"/>
    <col min="15104" max="15134" width="4.33203125" style="9" customWidth="1"/>
    <col min="15135" max="15135" width="5.109375" style="9" customWidth="1"/>
    <col min="15136" max="15136" width="4.109375" style="9" customWidth="1"/>
    <col min="15137" max="15137" width="4.33203125" style="9" customWidth="1"/>
    <col min="15138" max="15355" width="9.109375" style="9"/>
    <col min="15356" max="15356" width="3.6640625" style="9" customWidth="1"/>
    <col min="15357" max="15358" width="7.6640625" style="9" customWidth="1"/>
    <col min="15359" max="15359" width="22.44140625" style="9" customWidth="1"/>
    <col min="15360" max="15390" width="4.33203125" style="9" customWidth="1"/>
    <col min="15391" max="15391" width="5.109375" style="9" customWidth="1"/>
    <col min="15392" max="15392" width="4.109375" style="9" customWidth="1"/>
    <col min="15393" max="15393" width="4.33203125" style="9" customWidth="1"/>
    <col min="15394" max="15611" width="9.109375" style="9"/>
    <col min="15612" max="15612" width="3.6640625" style="9" customWidth="1"/>
    <col min="15613" max="15614" width="7.6640625" style="9" customWidth="1"/>
    <col min="15615" max="15615" width="22.44140625" style="9" customWidth="1"/>
    <col min="15616" max="15646" width="4.33203125" style="9" customWidth="1"/>
    <col min="15647" max="15647" width="5.109375" style="9" customWidth="1"/>
    <col min="15648" max="15648" width="4.109375" style="9" customWidth="1"/>
    <col min="15649" max="15649" width="4.33203125" style="9" customWidth="1"/>
    <col min="15650" max="15867" width="9.109375" style="9"/>
    <col min="15868" max="15868" width="3.6640625" style="9" customWidth="1"/>
    <col min="15869" max="15870" width="7.6640625" style="9" customWidth="1"/>
    <col min="15871" max="15871" width="22.44140625" style="9" customWidth="1"/>
    <col min="15872" max="15902" width="4.33203125" style="9" customWidth="1"/>
    <col min="15903" max="15903" width="5.109375" style="9" customWidth="1"/>
    <col min="15904" max="15904" width="4.109375" style="9" customWidth="1"/>
    <col min="15905" max="15905" width="4.33203125" style="9" customWidth="1"/>
    <col min="15906" max="16384" width="9.109375" style="9"/>
  </cols>
  <sheetData>
    <row r="1" spans="1:48" s="48" customFormat="1" ht="63.6" customHeight="1" x14ac:dyDescent="0.25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</row>
    <row r="2" spans="1:48" s="48" customFormat="1" ht="21.9" customHeight="1" x14ac:dyDescent="0.25">
      <c r="A2" s="49"/>
      <c r="B2" s="49"/>
      <c r="C2" s="50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48" s="48" customFormat="1" ht="21.9" customHeight="1" x14ac:dyDescent="0.25">
      <c r="A3" s="51" t="s">
        <v>1010</v>
      </c>
      <c r="B3" s="51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AA3" s="134" t="s">
        <v>935</v>
      </c>
      <c r="AB3" s="134"/>
      <c r="AC3" s="134"/>
      <c r="AD3" s="134"/>
      <c r="AE3" s="134"/>
      <c r="AF3" s="134"/>
      <c r="AG3" s="134"/>
      <c r="AH3" s="134"/>
    </row>
    <row r="4" spans="1:48" ht="16.2" customHeight="1" x14ac:dyDescent="0.25">
      <c r="A4" s="13"/>
      <c r="B4" s="13"/>
      <c r="C4" s="10"/>
      <c r="L4" s="13"/>
      <c r="M4" s="13"/>
      <c r="O4" s="13"/>
      <c r="P4" s="13"/>
      <c r="Q4" s="11"/>
      <c r="R4" s="13"/>
      <c r="S4" s="13"/>
      <c r="T4" s="13"/>
      <c r="U4" s="13"/>
      <c r="V4" s="13"/>
      <c r="W4" s="13"/>
      <c r="X4" s="13"/>
      <c r="Z4" s="14"/>
      <c r="AA4" s="135" t="s">
        <v>936</v>
      </c>
      <c r="AB4" s="136"/>
      <c r="AC4" s="136"/>
      <c r="AD4" s="137"/>
      <c r="AE4" s="135" t="s">
        <v>937</v>
      </c>
      <c r="AF4" s="136"/>
      <c r="AG4" s="136"/>
      <c r="AH4" s="137"/>
    </row>
    <row r="5" spans="1:48" ht="30.6" customHeight="1" x14ac:dyDescent="0.25">
      <c r="A5" s="11"/>
      <c r="C5" s="10"/>
      <c r="D5" s="10"/>
      <c r="E5" s="10"/>
      <c r="F5" s="11"/>
      <c r="G5" s="12"/>
      <c r="I5" s="13"/>
      <c r="J5" s="13"/>
      <c r="L5" s="13"/>
      <c r="M5" s="13"/>
      <c r="O5" s="13"/>
      <c r="P5" s="13"/>
      <c r="Q5" s="11"/>
      <c r="R5" s="13"/>
      <c r="S5" s="13"/>
      <c r="T5" s="13"/>
      <c r="U5" s="13"/>
      <c r="V5" s="13"/>
      <c r="W5" s="13"/>
      <c r="X5" s="13"/>
      <c r="Z5" s="14"/>
      <c r="AA5" s="131">
        <v>45658</v>
      </c>
      <c r="AB5" s="132"/>
      <c r="AC5" s="132"/>
      <c r="AD5" s="133"/>
      <c r="AE5" s="131">
        <v>46022</v>
      </c>
      <c r="AF5" s="132"/>
      <c r="AG5" s="132"/>
      <c r="AH5" s="133"/>
    </row>
    <row r="6" spans="1:48" ht="6.75" customHeight="1" x14ac:dyDescent="0.25">
      <c r="A6" s="11"/>
      <c r="C6" s="10"/>
      <c r="D6" s="10"/>
      <c r="E6" s="10"/>
      <c r="F6" s="11"/>
      <c r="G6" s="12"/>
      <c r="I6" s="13"/>
      <c r="J6" s="13"/>
      <c r="L6" s="13"/>
      <c r="M6" s="13"/>
      <c r="O6" s="13"/>
      <c r="P6" s="13"/>
      <c r="Q6" s="11"/>
      <c r="R6" s="13"/>
      <c r="S6" s="13"/>
      <c r="T6" s="13"/>
      <c r="U6" s="13"/>
      <c r="V6" s="13"/>
      <c r="W6" s="13"/>
      <c r="X6" s="13"/>
      <c r="Z6" s="14"/>
      <c r="AA6" s="15"/>
      <c r="AB6" s="11"/>
    </row>
    <row r="7" spans="1:48" ht="6.75" customHeight="1" x14ac:dyDescent="0.25">
      <c r="A7" s="11"/>
      <c r="C7" s="10"/>
      <c r="D7" s="10"/>
      <c r="E7" s="10"/>
      <c r="F7" s="11"/>
      <c r="G7" s="12"/>
      <c r="I7" s="13"/>
      <c r="J7" s="13"/>
      <c r="L7" s="13"/>
      <c r="M7" s="13"/>
      <c r="O7" s="13"/>
      <c r="P7" s="13"/>
      <c r="Q7" s="11"/>
      <c r="R7" s="13"/>
      <c r="S7" s="13"/>
      <c r="T7" s="13"/>
      <c r="U7" s="13"/>
      <c r="V7" s="13"/>
      <c r="W7" s="13"/>
      <c r="X7" s="13"/>
      <c r="Z7" s="14"/>
      <c r="AA7" s="15"/>
      <c r="AB7" s="11"/>
    </row>
    <row r="8" spans="1:48" ht="22.2" customHeight="1" x14ac:dyDescent="0.25">
      <c r="A8" s="92" t="s">
        <v>174</v>
      </c>
      <c r="B8" s="93"/>
      <c r="C8" s="111">
        <v>45658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3" t="s">
        <v>178</v>
      </c>
      <c r="AJ8" s="86" t="s">
        <v>176</v>
      </c>
      <c r="AL8" s="102" t="s">
        <v>942</v>
      </c>
      <c r="AM8" s="102"/>
      <c r="AN8" s="102"/>
      <c r="AO8" s="102"/>
      <c r="AP8" s="102"/>
      <c r="AQ8" s="102"/>
      <c r="AR8" s="102"/>
      <c r="AS8" s="102"/>
      <c r="AU8" s="86" t="s">
        <v>941</v>
      </c>
      <c r="AV8" s="88"/>
    </row>
    <row r="9" spans="1:48" ht="16.5" customHeight="1" thickBot="1" x14ac:dyDescent="0.3">
      <c r="A9" s="115" t="s">
        <v>175</v>
      </c>
      <c r="B9" s="115" t="s">
        <v>176</v>
      </c>
      <c r="C9" s="45">
        <v>1</v>
      </c>
      <c r="D9" s="45">
        <v>2</v>
      </c>
      <c r="E9" s="45">
        <v>3</v>
      </c>
      <c r="F9" s="45">
        <v>4</v>
      </c>
      <c r="G9" s="45">
        <v>5</v>
      </c>
      <c r="H9" s="45">
        <v>6</v>
      </c>
      <c r="I9" s="45">
        <v>7</v>
      </c>
      <c r="J9" s="45">
        <v>8</v>
      </c>
      <c r="K9" s="45">
        <v>9</v>
      </c>
      <c r="L9" s="45">
        <v>10</v>
      </c>
      <c r="M9" s="45">
        <v>11</v>
      </c>
      <c r="N9" s="45">
        <v>12</v>
      </c>
      <c r="O9" s="45">
        <v>13</v>
      </c>
      <c r="P9" s="45">
        <v>14</v>
      </c>
      <c r="Q9" s="45">
        <v>15</v>
      </c>
      <c r="R9" s="45">
        <v>16</v>
      </c>
      <c r="S9" s="45">
        <v>17</v>
      </c>
      <c r="T9" s="45">
        <v>18</v>
      </c>
      <c r="U9" s="45">
        <v>19</v>
      </c>
      <c r="V9" s="45">
        <v>20</v>
      </c>
      <c r="W9" s="45">
        <v>21</v>
      </c>
      <c r="X9" s="45">
        <v>22</v>
      </c>
      <c r="Y9" s="45">
        <v>23</v>
      </c>
      <c r="Z9" s="45">
        <v>24</v>
      </c>
      <c r="AA9" s="45">
        <v>25</v>
      </c>
      <c r="AB9" s="45">
        <v>26</v>
      </c>
      <c r="AC9" s="45">
        <v>27</v>
      </c>
      <c r="AD9" s="45">
        <v>28</v>
      </c>
      <c r="AE9" s="45">
        <v>29</v>
      </c>
      <c r="AF9" s="45">
        <v>30</v>
      </c>
      <c r="AG9" s="45" t="s">
        <v>177</v>
      </c>
      <c r="AH9" s="114"/>
      <c r="AJ9" s="86"/>
      <c r="AL9" s="103" t="s">
        <v>943</v>
      </c>
      <c r="AM9" s="104"/>
      <c r="AN9" s="105" t="s">
        <v>944</v>
      </c>
      <c r="AO9" s="106"/>
      <c r="AP9" s="107" t="s">
        <v>945</v>
      </c>
      <c r="AQ9" s="108"/>
      <c r="AR9" s="109" t="s">
        <v>946</v>
      </c>
      <c r="AS9" s="110"/>
      <c r="AU9" s="86"/>
      <c r="AV9" s="88"/>
    </row>
    <row r="10" spans="1:48" ht="15.75" customHeight="1" thickBot="1" x14ac:dyDescent="0.3">
      <c r="A10" s="116"/>
      <c r="B10" s="116"/>
      <c r="C10" s="28" t="s">
        <v>24</v>
      </c>
      <c r="D10" s="28" t="s">
        <v>180</v>
      </c>
      <c r="E10" s="28" t="s">
        <v>181</v>
      </c>
      <c r="F10" s="28" t="s">
        <v>182</v>
      </c>
      <c r="G10" s="28" t="s">
        <v>183</v>
      </c>
      <c r="H10" s="28" t="s">
        <v>179</v>
      </c>
      <c r="I10" s="28" t="s">
        <v>24</v>
      </c>
      <c r="J10" s="28" t="s">
        <v>24</v>
      </c>
      <c r="K10" s="28" t="s">
        <v>180</v>
      </c>
      <c r="L10" s="28" t="s">
        <v>181</v>
      </c>
      <c r="M10" s="28" t="s">
        <v>182</v>
      </c>
      <c r="N10" s="28" t="s">
        <v>183</v>
      </c>
      <c r="O10" s="28" t="s">
        <v>179</v>
      </c>
      <c r="P10" s="28" t="s">
        <v>24</v>
      </c>
      <c r="Q10" s="28" t="s">
        <v>24</v>
      </c>
      <c r="R10" s="28" t="s">
        <v>180</v>
      </c>
      <c r="S10" s="28" t="s">
        <v>181</v>
      </c>
      <c r="T10" s="28" t="s">
        <v>182</v>
      </c>
      <c r="U10" s="28" t="s">
        <v>183</v>
      </c>
      <c r="V10" s="28" t="s">
        <v>179</v>
      </c>
      <c r="W10" s="28" t="s">
        <v>24</v>
      </c>
      <c r="X10" s="28" t="s">
        <v>24</v>
      </c>
      <c r="Y10" s="28" t="s">
        <v>180</v>
      </c>
      <c r="Z10" s="28" t="s">
        <v>181</v>
      </c>
      <c r="AA10" s="28" t="s">
        <v>182</v>
      </c>
      <c r="AB10" s="28" t="s">
        <v>183</v>
      </c>
      <c r="AC10" s="28" t="s">
        <v>179</v>
      </c>
      <c r="AD10" s="28" t="s">
        <v>24</v>
      </c>
      <c r="AE10" s="28" t="s">
        <v>24</v>
      </c>
      <c r="AF10" s="28" t="s">
        <v>180</v>
      </c>
      <c r="AG10" s="28" t="s">
        <v>181</v>
      </c>
      <c r="AH10" s="17" t="s">
        <v>184</v>
      </c>
      <c r="AJ10" s="87"/>
      <c r="AL10" s="103"/>
      <c r="AM10" s="104"/>
      <c r="AN10" s="105"/>
      <c r="AO10" s="106"/>
      <c r="AP10" s="107"/>
      <c r="AQ10" s="108"/>
      <c r="AR10" s="109"/>
      <c r="AS10" s="110"/>
      <c r="AU10" s="87"/>
      <c r="AV10" s="89"/>
    </row>
    <row r="11" spans="1:48" ht="15" customHeight="1" thickBot="1" x14ac:dyDescent="0.3">
      <c r="A11" s="41">
        <v>1</v>
      </c>
      <c r="B11" s="54" t="s">
        <v>185</v>
      </c>
      <c r="C11" s="30">
        <f>COUNTIFS('AT. MEDICAS 2024'!$A$9:$A$874,"01/01/2025",'AT. MEDICAS 2024'!$I$9:$I$874,B11)</f>
        <v>0</v>
      </c>
      <c r="D11" s="30">
        <f>COUNTIFS('AT. MEDICAS 2024'!$A$9:$A$874,"02/01/2025",'AT. MEDICAS 2024'!$I$9:$I$874,B11)</f>
        <v>0</v>
      </c>
      <c r="E11" s="30">
        <f>COUNTIFS('AT. MEDICAS 2024'!$A$9:$A$874,"03/01/2025",'AT. MEDICAS 2024'!$I$9:$I$874,C11)</f>
        <v>0</v>
      </c>
      <c r="F11" s="30">
        <f>COUNTIFS('AT. MEDICAS 2024'!$A$9:$A$874,"04/01/2025",'AT. MEDICAS 2024'!$I$9:$I$874,D11)</f>
        <v>0</v>
      </c>
      <c r="G11" s="30">
        <f>COUNTIFS('AT. MEDICAS 2024'!$A$9:$A$874,"05/01/2025",'AT. MEDICAS 2024'!$I$9:$I$874,E11)</f>
        <v>0</v>
      </c>
      <c r="H11" s="30">
        <f>COUNTIFS('AT. MEDICAS 2024'!$A$9:$A$874,"06/01/2025",'AT. MEDICAS 2024'!$I$9:$I$874,F11)</f>
        <v>0</v>
      </c>
      <c r="I11" s="30">
        <f>COUNTIFS('AT. MEDICAS 2024'!$A$9:$A$874,"07/01/2025",'AT. MEDICAS 2024'!$I$9:$I$874,G11)</f>
        <v>0</v>
      </c>
      <c r="J11" s="30">
        <f>COUNTIFS('AT. MEDICAS 2024'!$A$9:$A$874,"08/01/2025",'AT. MEDICAS 2024'!$I$9:$I$874,H11)</f>
        <v>0</v>
      </c>
      <c r="K11" s="30">
        <f>COUNTIFS('AT. MEDICAS 2024'!$A$9:$A$874,"09/01/2025",'AT. MEDICAS 2024'!$I$9:$I$874,I11)</f>
        <v>0</v>
      </c>
      <c r="L11" s="30">
        <f>COUNTIFS('AT. MEDICAS 2024'!$A$9:$A$874,"10/01/2025",'AT. MEDICAS 2024'!$I$9:$I$874,J11)</f>
        <v>0</v>
      </c>
      <c r="M11" s="30">
        <f>COUNTIFS('AT. MEDICAS 2024'!$A$9:$A$874,"11/01/2025",'AT. MEDICAS 2024'!$I$9:$I$874,K11)</f>
        <v>0</v>
      </c>
      <c r="N11" s="30">
        <f>COUNTIFS('AT. MEDICAS 2024'!$A$9:$A$874,"12/01/2025",'AT. MEDICAS 2024'!$I$9:$I$874,L11)</f>
        <v>0</v>
      </c>
      <c r="O11" s="30">
        <f>COUNTIFS('AT. MEDICAS 2024'!$A$9:$A$874,"13/01/2025",'AT. MEDICAS 2024'!$I$9:$I$874,M11)</f>
        <v>0</v>
      </c>
      <c r="P11" s="30">
        <f>COUNTIFS('AT. MEDICAS 2024'!$A$9:$A$874,"14/01/2025",'AT. MEDICAS 2024'!$I$9:$I$874,N11)</f>
        <v>0</v>
      </c>
      <c r="Q11" s="30">
        <f>COUNTIFS('AT. MEDICAS 2024'!$A$9:$A$874,"15/01/2025",'AT. MEDICAS 2024'!$I$9:$I$874,O11)</f>
        <v>0</v>
      </c>
      <c r="R11" s="30">
        <f>COUNTIFS('AT. MEDICAS 2024'!$A$9:$A$874,"16/01/2025",'AT. MEDICAS 2024'!$I$9:$I$874,P11)</f>
        <v>0</v>
      </c>
      <c r="S11" s="30">
        <f>COUNTIFS('AT. MEDICAS 2024'!$A$9:$A$874,"17/01/2025",'AT. MEDICAS 2024'!$I$9:$I$874,Q11)</f>
        <v>0</v>
      </c>
      <c r="T11" s="30">
        <f>COUNTIFS('AT. MEDICAS 2024'!$A$9:$A$874,"18/01/2025",'AT. MEDICAS 2024'!$I$9:$I$874,R11)</f>
        <v>0</v>
      </c>
      <c r="U11" s="30">
        <f>COUNTIFS('AT. MEDICAS 2024'!$A$9:$A$874,"19/01/2025",'AT. MEDICAS 2024'!$I$9:$I$874,S11)</f>
        <v>0</v>
      </c>
      <c r="V11" s="30">
        <f>COUNTIFS('AT. MEDICAS 2024'!$A$9:$A$874,"20/01/2025",'AT. MEDICAS 2024'!$I$9:$I$874,T11)</f>
        <v>0</v>
      </c>
      <c r="W11" s="30">
        <f>COUNTIFS('AT. MEDICAS 2024'!$A$9:$A$874,"21/01/2025",'AT. MEDICAS 2024'!$I$9:$I$874,U11)</f>
        <v>0</v>
      </c>
      <c r="X11" s="30">
        <f>COUNTIFS('AT. MEDICAS 2024'!$A$9:$A$874,"22/01/2025",'AT. MEDICAS 2024'!$I$9:$I$874,V11)</f>
        <v>0</v>
      </c>
      <c r="Y11" s="30">
        <f>COUNTIFS('AT. MEDICAS 2024'!$A$9:$A$874,"23/01/2025",'AT. MEDICAS 2024'!$I$9:$I$874,W11)</f>
        <v>0</v>
      </c>
      <c r="Z11" s="30">
        <f>COUNTIFS('AT. MEDICAS 2024'!$A$9:$A$874,"24/01/2025",'AT. MEDICAS 2024'!$I$9:$I$874,X11)</f>
        <v>0</v>
      </c>
      <c r="AA11" s="30">
        <f>COUNTIFS('AT. MEDICAS 2024'!$A$9:$A$874,"25/01/2025",'AT. MEDICAS 2024'!$I$9:$I$874,Y11)</f>
        <v>0</v>
      </c>
      <c r="AB11" s="30">
        <f>COUNTIFS('AT. MEDICAS 2024'!$A$9:$A$874,"26/01/2025",'AT. MEDICAS 2024'!$I$9:$I$874,Z11)</f>
        <v>0</v>
      </c>
      <c r="AC11" s="30">
        <f>COUNTIFS('AT. MEDICAS 2024'!$A$9:$A$874,"27/01/2025",'AT. MEDICAS 2024'!$I$9:$I$874,AA11)</f>
        <v>0</v>
      </c>
      <c r="AD11" s="30">
        <f>COUNTIFS('AT. MEDICAS 2024'!$A$9:$A$874,"28/01/2025",'AT. MEDICAS 2024'!$I$9:$I$874,AB11)</f>
        <v>0</v>
      </c>
      <c r="AE11" s="30">
        <f>COUNTIFS('AT. MEDICAS 2024'!$A$9:$A$874,"29/01/2025",'AT. MEDICAS 2024'!$I$9:$I$874,AC11)</f>
        <v>0</v>
      </c>
      <c r="AF11" s="30">
        <f>COUNTIFS('AT. MEDICAS 2024'!$A$9:$A$874,"30/01/2025",'AT. MEDICAS 2024'!$I$9:$I$874,AD11)</f>
        <v>0</v>
      </c>
      <c r="AG11" s="30">
        <f>COUNTIFS('AT. MEDICAS 2024'!$A$9:$A$874,"31/01/2025",'AT. MEDICAS 2024'!$I$9:$I$874,AE11)</f>
        <v>0</v>
      </c>
      <c r="AH11" s="55">
        <f t="shared" ref="AH11:AH30" si="0">SUM(C11:AG11)</f>
        <v>0</v>
      </c>
      <c r="AJ11" s="54" t="s">
        <v>185</v>
      </c>
      <c r="AL11" s="30">
        <f>+AH11+AH36+AH61</f>
        <v>0</v>
      </c>
      <c r="AM11" s="62" t="e">
        <f>AL11/$AL$31</f>
        <v>#DIV/0!</v>
      </c>
      <c r="AN11" s="30">
        <f>+AH86+AH111+AH136</f>
        <v>0</v>
      </c>
      <c r="AO11" s="62" t="e">
        <f>AN11/$AN$31</f>
        <v>#DIV/0!</v>
      </c>
      <c r="AP11" s="30">
        <f>+AH161+AH186+AH211</f>
        <v>0</v>
      </c>
      <c r="AQ11" s="62" t="e">
        <f>AP11/$AP$31</f>
        <v>#DIV/0!</v>
      </c>
      <c r="AR11" s="30">
        <f>+AH236+AH261+AH286</f>
        <v>0</v>
      </c>
      <c r="AS11" s="62" t="e">
        <f>AR11/$AR$31</f>
        <v>#DIV/0!</v>
      </c>
      <c r="AU11" s="30">
        <f>+AL11+AN11+AP11+AR11</f>
        <v>0</v>
      </c>
      <c r="AV11" s="62" t="e">
        <f t="shared" ref="AV11:AV30" si="1">AU11/$AU$31</f>
        <v>#DIV/0!</v>
      </c>
    </row>
    <row r="12" spans="1:48" ht="15" customHeight="1" thickBot="1" x14ac:dyDescent="0.3">
      <c r="A12" s="41">
        <v>2</v>
      </c>
      <c r="B12" s="54" t="s">
        <v>186</v>
      </c>
      <c r="C12" s="30">
        <f>COUNTIFS('AT. MEDICAS 2024'!$A$9:$A$874,"01/01/2025",'AT. MEDICAS 2024'!$I$9:$I$874,B12)</f>
        <v>0</v>
      </c>
      <c r="D12" s="30">
        <f>COUNTIFS('AT. MEDICAS 2024'!$A$9:$A$874,"02/01/2025",'AT. MEDICAS 2024'!$I$9:$I$874,B12)</f>
        <v>0</v>
      </c>
      <c r="E12" s="30">
        <f>COUNTIFS('AT. MEDICAS 2024'!$A$9:$A$874,"03/01/2025",'AT. MEDICAS 2024'!$I$9:$I$874,C12)</f>
        <v>0</v>
      </c>
      <c r="F12" s="30">
        <f>COUNTIFS('AT. MEDICAS 2024'!$A$9:$A$874,"04/01/2025",'AT. MEDICAS 2024'!$I$9:$I$874,D12)</f>
        <v>0</v>
      </c>
      <c r="G12" s="30">
        <f>COUNTIFS('AT. MEDICAS 2024'!$A$9:$A$874,"05/01/2025",'AT. MEDICAS 2024'!$I$9:$I$874,E12)</f>
        <v>0</v>
      </c>
      <c r="H12" s="30">
        <f>COUNTIFS('AT. MEDICAS 2024'!$A$9:$A$874,"06/01/2025",'AT. MEDICAS 2024'!$I$9:$I$874,F12)</f>
        <v>0</v>
      </c>
      <c r="I12" s="30">
        <f>COUNTIFS('AT. MEDICAS 2024'!$A$9:$A$874,"07/01/2025",'AT. MEDICAS 2024'!$I$9:$I$874,G12)</f>
        <v>0</v>
      </c>
      <c r="J12" s="30">
        <f>COUNTIFS('AT. MEDICAS 2024'!$A$9:$A$874,"08/01/2025",'AT. MEDICAS 2024'!$I$9:$I$874,H12)</f>
        <v>0</v>
      </c>
      <c r="K12" s="30">
        <f>COUNTIFS('AT. MEDICAS 2024'!$A$9:$A$874,"09/01/2025",'AT. MEDICAS 2024'!$I$9:$I$874,I12)</f>
        <v>0</v>
      </c>
      <c r="L12" s="30">
        <f>COUNTIFS('AT. MEDICAS 2024'!$A$9:$A$874,"10/01/2025",'AT. MEDICAS 2024'!$I$9:$I$874,J12)</f>
        <v>0</v>
      </c>
      <c r="M12" s="30">
        <f>COUNTIFS('AT. MEDICAS 2024'!$A$9:$A$874,"11/01/2025",'AT. MEDICAS 2024'!$I$9:$I$874,K12)</f>
        <v>0</v>
      </c>
      <c r="N12" s="30">
        <f>COUNTIFS('AT. MEDICAS 2024'!$A$9:$A$874,"12/01/2025",'AT. MEDICAS 2024'!$I$9:$I$874,L12)</f>
        <v>0</v>
      </c>
      <c r="O12" s="30">
        <f>COUNTIFS('AT. MEDICAS 2024'!$A$9:$A$874,"13/01/2025",'AT. MEDICAS 2024'!$I$9:$I$874,M12)</f>
        <v>0</v>
      </c>
      <c r="P12" s="30">
        <f>COUNTIFS('AT. MEDICAS 2024'!$A$9:$A$874,"14/01/2025",'AT. MEDICAS 2024'!$I$9:$I$874,N12)</f>
        <v>0</v>
      </c>
      <c r="Q12" s="30">
        <f>COUNTIFS('AT. MEDICAS 2024'!$A$9:$A$874,"15/01/2025",'AT. MEDICAS 2024'!$I$9:$I$874,O12)</f>
        <v>0</v>
      </c>
      <c r="R12" s="30">
        <f>COUNTIFS('AT. MEDICAS 2024'!$A$9:$A$874,"16/01/2025",'AT. MEDICAS 2024'!$I$9:$I$874,P12)</f>
        <v>0</v>
      </c>
      <c r="S12" s="30">
        <f>COUNTIFS('AT. MEDICAS 2024'!$A$9:$A$874,"17/01/2025",'AT. MEDICAS 2024'!$I$9:$I$874,Q12)</f>
        <v>0</v>
      </c>
      <c r="T12" s="30">
        <f>COUNTIFS('AT. MEDICAS 2024'!$A$9:$A$874,"18/01/2025",'AT. MEDICAS 2024'!$I$9:$I$874,R12)</f>
        <v>0</v>
      </c>
      <c r="U12" s="30">
        <f>COUNTIFS('AT. MEDICAS 2024'!$A$9:$A$874,"19/01/2025",'AT. MEDICAS 2024'!$I$9:$I$874,S12)</f>
        <v>0</v>
      </c>
      <c r="V12" s="30">
        <f>COUNTIFS('AT. MEDICAS 2024'!$A$9:$A$874,"20/01/2025",'AT. MEDICAS 2024'!$I$9:$I$874,T12)</f>
        <v>0</v>
      </c>
      <c r="W12" s="30">
        <f>COUNTIFS('AT. MEDICAS 2024'!$A$9:$A$874,"21/01/2025",'AT. MEDICAS 2024'!$I$9:$I$874,U12)</f>
        <v>0</v>
      </c>
      <c r="X12" s="30">
        <f>COUNTIFS('AT. MEDICAS 2024'!$A$9:$A$874,"22/01/2025",'AT. MEDICAS 2024'!$I$9:$I$874,V12)</f>
        <v>0</v>
      </c>
      <c r="Y12" s="30">
        <f>COUNTIFS('AT. MEDICAS 2024'!$A$9:$A$874,"23/01/2025",'AT. MEDICAS 2024'!$I$9:$I$874,W12)</f>
        <v>0</v>
      </c>
      <c r="Z12" s="30">
        <f>COUNTIFS('AT. MEDICAS 2024'!$A$9:$A$874,"24/01/2025",'AT. MEDICAS 2024'!$I$9:$I$874,X12)</f>
        <v>0</v>
      </c>
      <c r="AA12" s="30">
        <f>COUNTIFS('AT. MEDICAS 2024'!$A$9:$A$874,"25/01/2025",'AT. MEDICAS 2024'!$I$9:$I$874,Y12)</f>
        <v>0</v>
      </c>
      <c r="AB12" s="30">
        <f>COUNTIFS('AT. MEDICAS 2024'!$A$9:$A$874,"26/01/2025",'AT. MEDICAS 2024'!$I$9:$I$874,Z12)</f>
        <v>0</v>
      </c>
      <c r="AC12" s="30">
        <f>COUNTIFS('AT. MEDICAS 2024'!$A$9:$A$874,"27/01/2025",'AT. MEDICAS 2024'!$I$9:$I$874,AA12)</f>
        <v>0</v>
      </c>
      <c r="AD12" s="30">
        <f>COUNTIFS('AT. MEDICAS 2024'!$A$9:$A$874,"28/01/2025",'AT. MEDICAS 2024'!$I$9:$I$874,AB12)</f>
        <v>0</v>
      </c>
      <c r="AE12" s="30">
        <f>COUNTIFS('AT. MEDICAS 2024'!$A$9:$A$874,"29/01/2025",'AT. MEDICAS 2024'!$I$9:$I$874,AC12)</f>
        <v>0</v>
      </c>
      <c r="AF12" s="30">
        <f>COUNTIFS('AT. MEDICAS 2024'!$A$9:$A$874,"30/01/2025",'AT. MEDICAS 2024'!$I$9:$I$874,AD12)</f>
        <v>0</v>
      </c>
      <c r="AG12" s="30">
        <f>COUNTIFS('AT. MEDICAS 2024'!$A$9:$A$874,"31/01/2025",'AT. MEDICAS 2024'!$I$9:$I$874,AE12)</f>
        <v>0</v>
      </c>
      <c r="AH12" s="55">
        <f t="shared" si="0"/>
        <v>0</v>
      </c>
      <c r="AJ12" s="54" t="s">
        <v>186</v>
      </c>
      <c r="AL12" s="30">
        <f t="shared" ref="AL12:AL30" si="2">+AH12+AH37+AH62</f>
        <v>0</v>
      </c>
      <c r="AM12" s="62" t="e">
        <f t="shared" ref="AM12:AM30" si="3">AL12/$AL$31</f>
        <v>#DIV/0!</v>
      </c>
      <c r="AN12" s="30">
        <f t="shared" ref="AN12:AN30" si="4">+AH87+AH112+AH137</f>
        <v>0</v>
      </c>
      <c r="AO12" s="62" t="e">
        <f t="shared" ref="AO12:AO30" si="5">AN12/$AN$31</f>
        <v>#DIV/0!</v>
      </c>
      <c r="AP12" s="30">
        <f t="shared" ref="AP12:AP30" si="6">+AH162+AH187+AH212</f>
        <v>0</v>
      </c>
      <c r="AQ12" s="62" t="e">
        <f t="shared" ref="AQ12:AQ30" si="7">AP12/$AP$31</f>
        <v>#DIV/0!</v>
      </c>
      <c r="AR12" s="30">
        <f t="shared" ref="AR12:AR30" si="8">+AH237+AH262+AH287</f>
        <v>0</v>
      </c>
      <c r="AS12" s="62" t="e">
        <f t="shared" ref="AS12:AS30" si="9">AR12/$AR$31</f>
        <v>#DIV/0!</v>
      </c>
      <c r="AU12" s="30">
        <f t="shared" ref="AU12:AU30" si="10">+AL12+AN12+AP12+AR12</f>
        <v>0</v>
      </c>
      <c r="AV12" s="62" t="e">
        <f t="shared" si="1"/>
        <v>#DIV/0!</v>
      </c>
    </row>
    <row r="13" spans="1:48" ht="15" customHeight="1" thickBot="1" x14ac:dyDescent="0.3">
      <c r="A13" s="41">
        <v>3</v>
      </c>
      <c r="B13" s="54" t="s">
        <v>94</v>
      </c>
      <c r="C13" s="30">
        <f>COUNTIFS('AT. MEDICAS 2024'!$A$9:$A$874,"01/01/2025",'AT. MEDICAS 2024'!$I$9:$I$874,B13)</f>
        <v>0</v>
      </c>
      <c r="D13" s="30">
        <f>COUNTIFS('AT. MEDICAS 2024'!$A$9:$A$874,"02/01/2025",'AT. MEDICAS 2024'!$I$9:$I$874,B13)</f>
        <v>0</v>
      </c>
      <c r="E13" s="30">
        <f>COUNTIFS('AT. MEDICAS 2024'!$A$9:$A$874,"03/01/2025",'AT. MEDICAS 2024'!$I$9:$I$874,C13)</f>
        <v>0</v>
      </c>
      <c r="F13" s="30">
        <f>COUNTIFS('AT. MEDICAS 2024'!$A$9:$A$874,"04/01/2025",'AT. MEDICAS 2024'!$I$9:$I$874,D13)</f>
        <v>0</v>
      </c>
      <c r="G13" s="30">
        <f>COUNTIFS('AT. MEDICAS 2024'!$A$9:$A$874,"05/01/2025",'AT. MEDICAS 2024'!$I$9:$I$874,E13)</f>
        <v>0</v>
      </c>
      <c r="H13" s="30">
        <f>COUNTIFS('AT. MEDICAS 2024'!$A$9:$A$874,"06/01/2025",'AT. MEDICAS 2024'!$I$9:$I$874,F13)</f>
        <v>0</v>
      </c>
      <c r="I13" s="30">
        <f>COUNTIFS('AT. MEDICAS 2024'!$A$9:$A$874,"07/01/2025",'AT. MEDICAS 2024'!$I$9:$I$874,G13)</f>
        <v>0</v>
      </c>
      <c r="J13" s="30">
        <f>COUNTIFS('AT. MEDICAS 2024'!$A$9:$A$874,"08/01/2025",'AT. MEDICAS 2024'!$I$9:$I$874,H13)</f>
        <v>0</v>
      </c>
      <c r="K13" s="30">
        <f>COUNTIFS('AT. MEDICAS 2024'!$A$9:$A$874,"09/01/2025",'AT. MEDICAS 2024'!$I$9:$I$874,I13)</f>
        <v>0</v>
      </c>
      <c r="L13" s="30">
        <f>COUNTIFS('AT. MEDICAS 2024'!$A$9:$A$874,"10/01/2025",'AT. MEDICAS 2024'!$I$9:$I$874,J13)</f>
        <v>0</v>
      </c>
      <c r="M13" s="30">
        <f>COUNTIFS('AT. MEDICAS 2024'!$A$9:$A$874,"11/01/2025",'AT. MEDICAS 2024'!$I$9:$I$874,K13)</f>
        <v>0</v>
      </c>
      <c r="N13" s="30">
        <f>COUNTIFS('AT. MEDICAS 2024'!$A$9:$A$874,"12/01/2025",'AT. MEDICAS 2024'!$I$9:$I$874,L13)</f>
        <v>0</v>
      </c>
      <c r="O13" s="30">
        <f>COUNTIFS('AT. MEDICAS 2024'!$A$9:$A$874,"13/01/2025",'AT. MEDICAS 2024'!$I$9:$I$874,M13)</f>
        <v>0</v>
      </c>
      <c r="P13" s="30">
        <f>COUNTIFS('AT. MEDICAS 2024'!$A$9:$A$874,"14/01/2025",'AT. MEDICAS 2024'!$I$9:$I$874,N13)</f>
        <v>0</v>
      </c>
      <c r="Q13" s="30">
        <f>COUNTIFS('AT. MEDICAS 2024'!$A$9:$A$874,"15/01/2025",'AT. MEDICAS 2024'!$I$9:$I$874,O13)</f>
        <v>0</v>
      </c>
      <c r="R13" s="30">
        <f>COUNTIFS('AT. MEDICAS 2024'!$A$9:$A$874,"16/01/2025",'AT. MEDICAS 2024'!$I$9:$I$874,P13)</f>
        <v>0</v>
      </c>
      <c r="S13" s="30">
        <f>COUNTIFS('AT. MEDICAS 2024'!$A$9:$A$874,"17/01/2025",'AT. MEDICAS 2024'!$I$9:$I$874,Q13)</f>
        <v>0</v>
      </c>
      <c r="T13" s="30">
        <f>COUNTIFS('AT. MEDICAS 2024'!$A$9:$A$874,"18/01/2025",'AT. MEDICAS 2024'!$I$9:$I$874,R13)</f>
        <v>0</v>
      </c>
      <c r="U13" s="30">
        <f>COUNTIFS('AT. MEDICAS 2024'!$A$9:$A$874,"19/01/2025",'AT. MEDICAS 2024'!$I$9:$I$874,S13)</f>
        <v>0</v>
      </c>
      <c r="V13" s="30">
        <f>COUNTIFS('AT. MEDICAS 2024'!$A$9:$A$874,"20/01/2025",'AT. MEDICAS 2024'!$I$9:$I$874,T13)</f>
        <v>0</v>
      </c>
      <c r="W13" s="30">
        <f>COUNTIFS('AT. MEDICAS 2024'!$A$9:$A$874,"21/01/2025",'AT. MEDICAS 2024'!$I$9:$I$874,U13)</f>
        <v>0</v>
      </c>
      <c r="X13" s="30">
        <f>COUNTIFS('AT. MEDICAS 2024'!$A$9:$A$874,"22/01/2025",'AT. MEDICAS 2024'!$I$9:$I$874,V13)</f>
        <v>0</v>
      </c>
      <c r="Y13" s="30">
        <f>COUNTIFS('AT. MEDICAS 2024'!$A$9:$A$874,"23/01/2025",'AT. MEDICAS 2024'!$I$9:$I$874,W13)</f>
        <v>0</v>
      </c>
      <c r="Z13" s="30">
        <f>COUNTIFS('AT. MEDICAS 2024'!$A$9:$A$874,"24/01/2025",'AT. MEDICAS 2024'!$I$9:$I$874,X13)</f>
        <v>0</v>
      </c>
      <c r="AA13" s="30">
        <f>COUNTIFS('AT. MEDICAS 2024'!$A$9:$A$874,"25/01/2025",'AT. MEDICAS 2024'!$I$9:$I$874,Y13)</f>
        <v>0</v>
      </c>
      <c r="AB13" s="30">
        <f>COUNTIFS('AT. MEDICAS 2024'!$A$9:$A$874,"26/01/2025",'AT. MEDICAS 2024'!$I$9:$I$874,Z13)</f>
        <v>0</v>
      </c>
      <c r="AC13" s="30">
        <f>COUNTIFS('AT. MEDICAS 2024'!$A$9:$A$874,"27/01/2025",'AT. MEDICAS 2024'!$I$9:$I$874,AA13)</f>
        <v>0</v>
      </c>
      <c r="AD13" s="30">
        <f>COUNTIFS('AT. MEDICAS 2024'!$A$9:$A$874,"28/01/2025",'AT. MEDICAS 2024'!$I$9:$I$874,AB13)</f>
        <v>0</v>
      </c>
      <c r="AE13" s="30">
        <f>COUNTIFS('AT. MEDICAS 2024'!$A$9:$A$874,"29/01/2025",'AT. MEDICAS 2024'!$I$9:$I$874,AC13)</f>
        <v>0</v>
      </c>
      <c r="AF13" s="30">
        <f>COUNTIFS('AT. MEDICAS 2024'!$A$9:$A$874,"30/01/2025",'AT. MEDICAS 2024'!$I$9:$I$874,AD13)</f>
        <v>0</v>
      </c>
      <c r="AG13" s="30">
        <f>COUNTIFS('AT. MEDICAS 2024'!$A$9:$A$874,"31/01/2025",'AT. MEDICAS 2024'!$I$9:$I$874,AE13)</f>
        <v>0</v>
      </c>
      <c r="AH13" s="55">
        <f t="shared" si="0"/>
        <v>0</v>
      </c>
      <c r="AJ13" s="54" t="s">
        <v>94</v>
      </c>
      <c r="AL13" s="30">
        <f t="shared" si="2"/>
        <v>0</v>
      </c>
      <c r="AM13" s="62" t="e">
        <f t="shared" si="3"/>
        <v>#DIV/0!</v>
      </c>
      <c r="AN13" s="30">
        <f t="shared" si="4"/>
        <v>0</v>
      </c>
      <c r="AO13" s="62" t="e">
        <f t="shared" si="5"/>
        <v>#DIV/0!</v>
      </c>
      <c r="AP13" s="30">
        <f t="shared" si="6"/>
        <v>0</v>
      </c>
      <c r="AQ13" s="62" t="e">
        <f t="shared" si="7"/>
        <v>#DIV/0!</v>
      </c>
      <c r="AR13" s="30">
        <f t="shared" si="8"/>
        <v>0</v>
      </c>
      <c r="AS13" s="62" t="e">
        <f t="shared" si="9"/>
        <v>#DIV/0!</v>
      </c>
      <c r="AU13" s="30">
        <f t="shared" si="10"/>
        <v>0</v>
      </c>
      <c r="AV13" s="62" t="e">
        <f t="shared" si="1"/>
        <v>#DIV/0!</v>
      </c>
    </row>
    <row r="14" spans="1:48" ht="15" customHeight="1" thickBot="1" x14ac:dyDescent="0.3">
      <c r="A14" s="41">
        <v>4</v>
      </c>
      <c r="B14" s="54" t="s">
        <v>50</v>
      </c>
      <c r="C14" s="30">
        <f>COUNTIFS('AT. MEDICAS 2024'!$A$9:$A$874,"01/01/2025",'AT. MEDICAS 2024'!$I$9:$I$874,B14)</f>
        <v>0</v>
      </c>
      <c r="D14" s="30">
        <f>COUNTIFS('AT. MEDICAS 2024'!$A$9:$A$874,"02/01/2025",'AT. MEDICAS 2024'!$I$9:$I$874,B14)</f>
        <v>0</v>
      </c>
      <c r="E14" s="30">
        <f>COUNTIFS('AT. MEDICAS 2024'!$A$9:$A$874,"03/01/2025",'AT. MEDICAS 2024'!$I$9:$I$874,C14)</f>
        <v>0</v>
      </c>
      <c r="F14" s="30">
        <f>COUNTIFS('AT. MEDICAS 2024'!$A$9:$A$874,"04/01/2025",'AT. MEDICAS 2024'!$I$9:$I$874,D14)</f>
        <v>0</v>
      </c>
      <c r="G14" s="30">
        <f>COUNTIFS('AT. MEDICAS 2024'!$A$9:$A$874,"05/01/2025",'AT. MEDICAS 2024'!$I$9:$I$874,E14)</f>
        <v>0</v>
      </c>
      <c r="H14" s="30">
        <f>COUNTIFS('AT. MEDICAS 2024'!$A$9:$A$874,"06/01/2025",'AT. MEDICAS 2024'!$I$9:$I$874,F14)</f>
        <v>0</v>
      </c>
      <c r="I14" s="30">
        <f>COUNTIFS('AT. MEDICAS 2024'!$A$9:$A$874,"07/01/2025",'AT. MEDICAS 2024'!$I$9:$I$874,G14)</f>
        <v>0</v>
      </c>
      <c r="J14" s="30">
        <f>COUNTIFS('AT. MEDICAS 2024'!$A$9:$A$874,"08/01/2025",'AT. MEDICAS 2024'!$I$9:$I$874,H14)</f>
        <v>0</v>
      </c>
      <c r="K14" s="30">
        <f>COUNTIFS('AT. MEDICAS 2024'!$A$9:$A$874,"09/01/2025",'AT. MEDICAS 2024'!$I$9:$I$874,I14)</f>
        <v>0</v>
      </c>
      <c r="L14" s="30">
        <f>COUNTIFS('AT. MEDICAS 2024'!$A$9:$A$874,"10/01/2025",'AT. MEDICAS 2024'!$I$9:$I$874,J14)</f>
        <v>0</v>
      </c>
      <c r="M14" s="30">
        <f>COUNTIFS('AT. MEDICAS 2024'!$A$9:$A$874,"11/01/2025",'AT. MEDICAS 2024'!$I$9:$I$874,K14)</f>
        <v>0</v>
      </c>
      <c r="N14" s="30">
        <f>COUNTIFS('AT. MEDICAS 2024'!$A$9:$A$874,"12/01/2025",'AT. MEDICAS 2024'!$I$9:$I$874,L14)</f>
        <v>0</v>
      </c>
      <c r="O14" s="30">
        <f>COUNTIFS('AT. MEDICAS 2024'!$A$9:$A$874,"13/01/2025",'AT. MEDICAS 2024'!$I$9:$I$874,M14)</f>
        <v>0</v>
      </c>
      <c r="P14" s="30">
        <f>COUNTIFS('AT. MEDICAS 2024'!$A$9:$A$874,"14/01/2025",'AT. MEDICAS 2024'!$I$9:$I$874,N14)</f>
        <v>0</v>
      </c>
      <c r="Q14" s="30">
        <f>COUNTIFS('AT. MEDICAS 2024'!$A$9:$A$874,"15/01/2025",'AT. MEDICAS 2024'!$I$9:$I$874,O14)</f>
        <v>0</v>
      </c>
      <c r="R14" s="30">
        <f>COUNTIFS('AT. MEDICAS 2024'!$A$9:$A$874,"16/01/2025",'AT. MEDICAS 2024'!$I$9:$I$874,P14)</f>
        <v>0</v>
      </c>
      <c r="S14" s="30">
        <f>COUNTIFS('AT. MEDICAS 2024'!$A$9:$A$874,"17/01/2025",'AT. MEDICAS 2024'!$I$9:$I$874,Q14)</f>
        <v>0</v>
      </c>
      <c r="T14" s="30">
        <f>COUNTIFS('AT. MEDICAS 2024'!$A$9:$A$874,"18/01/2025",'AT. MEDICAS 2024'!$I$9:$I$874,R14)</f>
        <v>0</v>
      </c>
      <c r="U14" s="30">
        <f>COUNTIFS('AT. MEDICAS 2024'!$A$9:$A$874,"19/01/2025",'AT. MEDICAS 2024'!$I$9:$I$874,S14)</f>
        <v>0</v>
      </c>
      <c r="V14" s="30">
        <f>COUNTIFS('AT. MEDICAS 2024'!$A$9:$A$874,"20/01/2025",'AT. MEDICAS 2024'!$I$9:$I$874,T14)</f>
        <v>0</v>
      </c>
      <c r="W14" s="30">
        <f>COUNTIFS('AT. MEDICAS 2024'!$A$9:$A$874,"21/01/2025",'AT. MEDICAS 2024'!$I$9:$I$874,U14)</f>
        <v>0</v>
      </c>
      <c r="X14" s="30">
        <f>COUNTIFS('AT. MEDICAS 2024'!$A$9:$A$874,"22/01/2025",'AT. MEDICAS 2024'!$I$9:$I$874,V14)</f>
        <v>0</v>
      </c>
      <c r="Y14" s="30">
        <f>COUNTIFS('AT. MEDICAS 2024'!$A$9:$A$874,"23/01/2025",'AT. MEDICAS 2024'!$I$9:$I$874,W14)</f>
        <v>0</v>
      </c>
      <c r="Z14" s="30">
        <f>COUNTIFS('AT. MEDICAS 2024'!$A$9:$A$874,"24/01/2025",'AT. MEDICAS 2024'!$I$9:$I$874,X14)</f>
        <v>0</v>
      </c>
      <c r="AA14" s="30">
        <f>COUNTIFS('AT. MEDICAS 2024'!$A$9:$A$874,"25/01/2025",'AT. MEDICAS 2024'!$I$9:$I$874,Y14)</f>
        <v>0</v>
      </c>
      <c r="AB14" s="30">
        <f>COUNTIFS('AT. MEDICAS 2024'!$A$9:$A$874,"26/01/2025",'AT. MEDICAS 2024'!$I$9:$I$874,Z14)</f>
        <v>0</v>
      </c>
      <c r="AC14" s="30">
        <f>COUNTIFS('AT. MEDICAS 2024'!$A$9:$A$874,"27/01/2025",'AT. MEDICAS 2024'!$I$9:$I$874,AA14)</f>
        <v>0</v>
      </c>
      <c r="AD14" s="30">
        <f>COUNTIFS('AT. MEDICAS 2024'!$A$9:$A$874,"28/01/2025",'AT. MEDICAS 2024'!$I$9:$I$874,AB14)</f>
        <v>0</v>
      </c>
      <c r="AE14" s="30">
        <f>COUNTIFS('AT. MEDICAS 2024'!$A$9:$A$874,"29/01/2025",'AT. MEDICAS 2024'!$I$9:$I$874,AC14)</f>
        <v>0</v>
      </c>
      <c r="AF14" s="30">
        <f>COUNTIFS('AT. MEDICAS 2024'!$A$9:$A$874,"30/01/2025",'AT. MEDICAS 2024'!$I$9:$I$874,AD14)</f>
        <v>0</v>
      </c>
      <c r="AG14" s="30">
        <f>COUNTIFS('AT. MEDICAS 2024'!$A$9:$A$874,"31/01/2025",'AT. MEDICAS 2024'!$I$9:$I$874,AE14)</f>
        <v>0</v>
      </c>
      <c r="AH14" s="55">
        <f t="shared" si="0"/>
        <v>0</v>
      </c>
      <c r="AJ14" s="54" t="s">
        <v>50</v>
      </c>
      <c r="AL14" s="30">
        <f t="shared" si="2"/>
        <v>0</v>
      </c>
      <c r="AM14" s="62" t="e">
        <f t="shared" si="3"/>
        <v>#DIV/0!</v>
      </c>
      <c r="AN14" s="30">
        <f t="shared" si="4"/>
        <v>0</v>
      </c>
      <c r="AO14" s="62" t="e">
        <f t="shared" si="5"/>
        <v>#DIV/0!</v>
      </c>
      <c r="AP14" s="30">
        <f t="shared" si="6"/>
        <v>0</v>
      </c>
      <c r="AQ14" s="62" t="e">
        <f t="shared" si="7"/>
        <v>#DIV/0!</v>
      </c>
      <c r="AR14" s="30">
        <f t="shared" si="8"/>
        <v>0</v>
      </c>
      <c r="AS14" s="62" t="e">
        <f t="shared" si="9"/>
        <v>#DIV/0!</v>
      </c>
      <c r="AU14" s="30">
        <f t="shared" si="10"/>
        <v>0</v>
      </c>
      <c r="AV14" s="62" t="e">
        <f t="shared" si="1"/>
        <v>#DIV/0!</v>
      </c>
    </row>
    <row r="15" spans="1:48" ht="15" customHeight="1" thickBot="1" x14ac:dyDescent="0.3">
      <c r="A15" s="41">
        <v>5</v>
      </c>
      <c r="B15" s="54" t="s">
        <v>187</v>
      </c>
      <c r="C15" s="30">
        <f>COUNTIFS('AT. MEDICAS 2024'!$A$9:$A$874,"01/01/2025",'AT. MEDICAS 2024'!$I$9:$I$874,B15)</f>
        <v>0</v>
      </c>
      <c r="D15" s="30">
        <f>COUNTIFS('AT. MEDICAS 2024'!$A$9:$A$874,"02/01/2025",'AT. MEDICAS 2024'!$I$9:$I$874,B15)</f>
        <v>0</v>
      </c>
      <c r="E15" s="30">
        <f>COUNTIFS('AT. MEDICAS 2024'!$A$9:$A$874,"03/01/2025",'AT. MEDICAS 2024'!$I$9:$I$874,C15)</f>
        <v>0</v>
      </c>
      <c r="F15" s="30">
        <f>COUNTIFS('AT. MEDICAS 2024'!$A$9:$A$874,"04/01/2025",'AT. MEDICAS 2024'!$I$9:$I$874,D15)</f>
        <v>0</v>
      </c>
      <c r="G15" s="30">
        <f>COUNTIFS('AT. MEDICAS 2024'!$A$9:$A$874,"05/01/2025",'AT. MEDICAS 2024'!$I$9:$I$874,E15)</f>
        <v>0</v>
      </c>
      <c r="H15" s="30">
        <f>COUNTIFS('AT. MEDICAS 2024'!$A$9:$A$874,"06/01/2025",'AT. MEDICAS 2024'!$I$9:$I$874,F15)</f>
        <v>0</v>
      </c>
      <c r="I15" s="30">
        <f>COUNTIFS('AT. MEDICAS 2024'!$A$9:$A$874,"07/01/2025",'AT. MEDICAS 2024'!$I$9:$I$874,G15)</f>
        <v>0</v>
      </c>
      <c r="J15" s="30">
        <f>COUNTIFS('AT. MEDICAS 2024'!$A$9:$A$874,"08/01/2025",'AT. MEDICAS 2024'!$I$9:$I$874,H15)</f>
        <v>0</v>
      </c>
      <c r="K15" s="30">
        <f>COUNTIFS('AT. MEDICAS 2024'!$A$9:$A$874,"09/01/2025",'AT. MEDICAS 2024'!$I$9:$I$874,I15)</f>
        <v>0</v>
      </c>
      <c r="L15" s="30">
        <f>COUNTIFS('AT. MEDICAS 2024'!$A$9:$A$874,"10/01/2025",'AT. MEDICAS 2024'!$I$9:$I$874,J15)</f>
        <v>0</v>
      </c>
      <c r="M15" s="30">
        <f>COUNTIFS('AT. MEDICAS 2024'!$A$9:$A$874,"11/01/2025",'AT. MEDICAS 2024'!$I$9:$I$874,K15)</f>
        <v>0</v>
      </c>
      <c r="N15" s="30">
        <f>COUNTIFS('AT. MEDICAS 2024'!$A$9:$A$874,"12/01/2025",'AT. MEDICAS 2024'!$I$9:$I$874,L15)</f>
        <v>0</v>
      </c>
      <c r="O15" s="30">
        <f>COUNTIFS('AT. MEDICAS 2024'!$A$9:$A$874,"13/01/2025",'AT. MEDICAS 2024'!$I$9:$I$874,M15)</f>
        <v>0</v>
      </c>
      <c r="P15" s="30">
        <f>COUNTIFS('AT. MEDICAS 2024'!$A$9:$A$874,"14/01/2025",'AT. MEDICAS 2024'!$I$9:$I$874,N15)</f>
        <v>0</v>
      </c>
      <c r="Q15" s="30">
        <f>COUNTIFS('AT. MEDICAS 2024'!$A$9:$A$874,"15/01/2025",'AT. MEDICAS 2024'!$I$9:$I$874,O15)</f>
        <v>0</v>
      </c>
      <c r="R15" s="30">
        <f>COUNTIFS('AT. MEDICAS 2024'!$A$9:$A$874,"16/01/2025",'AT. MEDICAS 2024'!$I$9:$I$874,P15)</f>
        <v>0</v>
      </c>
      <c r="S15" s="30">
        <f>COUNTIFS('AT. MEDICAS 2024'!$A$9:$A$874,"17/01/2025",'AT. MEDICAS 2024'!$I$9:$I$874,Q15)</f>
        <v>0</v>
      </c>
      <c r="T15" s="30">
        <f>COUNTIFS('AT. MEDICAS 2024'!$A$9:$A$874,"18/01/2025",'AT. MEDICAS 2024'!$I$9:$I$874,R15)</f>
        <v>0</v>
      </c>
      <c r="U15" s="30">
        <f>COUNTIFS('AT. MEDICAS 2024'!$A$9:$A$874,"19/01/2025",'AT. MEDICAS 2024'!$I$9:$I$874,S15)</f>
        <v>0</v>
      </c>
      <c r="V15" s="30">
        <f>COUNTIFS('AT. MEDICAS 2024'!$A$9:$A$874,"20/01/2025",'AT. MEDICAS 2024'!$I$9:$I$874,T15)</f>
        <v>0</v>
      </c>
      <c r="W15" s="30">
        <f>COUNTIFS('AT. MEDICAS 2024'!$A$9:$A$874,"21/01/2025",'AT. MEDICAS 2024'!$I$9:$I$874,U15)</f>
        <v>0</v>
      </c>
      <c r="X15" s="30">
        <f>COUNTIFS('AT. MEDICAS 2024'!$A$9:$A$874,"22/01/2025",'AT. MEDICAS 2024'!$I$9:$I$874,V15)</f>
        <v>0</v>
      </c>
      <c r="Y15" s="30">
        <f>COUNTIFS('AT. MEDICAS 2024'!$A$9:$A$874,"23/01/2025",'AT. MEDICAS 2024'!$I$9:$I$874,W15)</f>
        <v>0</v>
      </c>
      <c r="Z15" s="30">
        <f>COUNTIFS('AT. MEDICAS 2024'!$A$9:$A$874,"24/01/2025",'AT. MEDICAS 2024'!$I$9:$I$874,X15)</f>
        <v>0</v>
      </c>
      <c r="AA15" s="30">
        <f>COUNTIFS('AT. MEDICAS 2024'!$A$9:$A$874,"25/01/2025",'AT. MEDICAS 2024'!$I$9:$I$874,Y15)</f>
        <v>0</v>
      </c>
      <c r="AB15" s="30">
        <f>COUNTIFS('AT. MEDICAS 2024'!$A$9:$A$874,"26/01/2025",'AT. MEDICAS 2024'!$I$9:$I$874,Z15)</f>
        <v>0</v>
      </c>
      <c r="AC15" s="30">
        <f>COUNTIFS('AT. MEDICAS 2024'!$A$9:$A$874,"27/01/2025",'AT. MEDICAS 2024'!$I$9:$I$874,AA15)</f>
        <v>0</v>
      </c>
      <c r="AD15" s="30">
        <f>COUNTIFS('AT. MEDICAS 2024'!$A$9:$A$874,"28/01/2025",'AT. MEDICAS 2024'!$I$9:$I$874,AB15)</f>
        <v>0</v>
      </c>
      <c r="AE15" s="30">
        <f>COUNTIFS('AT. MEDICAS 2024'!$A$9:$A$874,"29/01/2025",'AT. MEDICAS 2024'!$I$9:$I$874,AC15)</f>
        <v>0</v>
      </c>
      <c r="AF15" s="30">
        <f>COUNTIFS('AT. MEDICAS 2024'!$A$9:$A$874,"30/01/2025",'AT. MEDICAS 2024'!$I$9:$I$874,AD15)</f>
        <v>0</v>
      </c>
      <c r="AG15" s="30">
        <f>COUNTIFS('AT. MEDICAS 2024'!$A$9:$A$874,"31/01/2025",'AT. MEDICAS 2024'!$I$9:$I$874,AE15)</f>
        <v>0</v>
      </c>
      <c r="AH15" s="55">
        <f t="shared" si="0"/>
        <v>0</v>
      </c>
      <c r="AJ15" s="54" t="s">
        <v>187</v>
      </c>
      <c r="AL15" s="30">
        <f t="shared" si="2"/>
        <v>0</v>
      </c>
      <c r="AM15" s="62" t="e">
        <f t="shared" si="3"/>
        <v>#DIV/0!</v>
      </c>
      <c r="AN15" s="30">
        <f t="shared" si="4"/>
        <v>0</v>
      </c>
      <c r="AO15" s="62" t="e">
        <f t="shared" si="5"/>
        <v>#DIV/0!</v>
      </c>
      <c r="AP15" s="30">
        <f t="shared" si="6"/>
        <v>0</v>
      </c>
      <c r="AQ15" s="62" t="e">
        <f t="shared" si="7"/>
        <v>#DIV/0!</v>
      </c>
      <c r="AR15" s="30">
        <f t="shared" si="8"/>
        <v>0</v>
      </c>
      <c r="AS15" s="62" t="e">
        <f t="shared" si="9"/>
        <v>#DIV/0!</v>
      </c>
      <c r="AU15" s="30">
        <f t="shared" si="10"/>
        <v>0</v>
      </c>
      <c r="AV15" s="62" t="e">
        <f t="shared" si="1"/>
        <v>#DIV/0!</v>
      </c>
    </row>
    <row r="16" spans="1:48" ht="15" customHeight="1" thickBot="1" x14ac:dyDescent="0.3">
      <c r="A16" s="41">
        <v>6</v>
      </c>
      <c r="B16" s="54" t="s">
        <v>46</v>
      </c>
      <c r="C16" s="30">
        <f>COUNTIFS('AT. MEDICAS 2024'!$A$9:$A$874,"01/01/2025",'AT. MEDICAS 2024'!$I$9:$I$874,B16)</f>
        <v>0</v>
      </c>
      <c r="D16" s="30">
        <f>COUNTIFS('AT. MEDICAS 2024'!$A$9:$A$874,"02/01/2025",'AT. MEDICAS 2024'!$I$9:$I$874,B16)</f>
        <v>0</v>
      </c>
      <c r="E16" s="30">
        <f>COUNTIFS('AT. MEDICAS 2024'!$A$9:$A$874,"03/01/2025",'AT. MEDICAS 2024'!$I$9:$I$874,C16)</f>
        <v>0</v>
      </c>
      <c r="F16" s="30">
        <f>COUNTIFS('AT. MEDICAS 2024'!$A$9:$A$874,"04/01/2025",'AT. MEDICAS 2024'!$I$9:$I$874,D16)</f>
        <v>0</v>
      </c>
      <c r="G16" s="30">
        <f>COUNTIFS('AT. MEDICAS 2024'!$A$9:$A$874,"05/01/2025",'AT. MEDICAS 2024'!$I$9:$I$874,E16)</f>
        <v>0</v>
      </c>
      <c r="H16" s="30">
        <f>COUNTIFS('AT. MEDICAS 2024'!$A$9:$A$874,"06/01/2025",'AT. MEDICAS 2024'!$I$9:$I$874,F16)</f>
        <v>0</v>
      </c>
      <c r="I16" s="30">
        <f>COUNTIFS('AT. MEDICAS 2024'!$A$9:$A$874,"07/01/2025",'AT. MEDICAS 2024'!$I$9:$I$874,G16)</f>
        <v>0</v>
      </c>
      <c r="J16" s="30">
        <f>COUNTIFS('AT. MEDICAS 2024'!$A$9:$A$874,"08/01/2025",'AT. MEDICAS 2024'!$I$9:$I$874,H16)</f>
        <v>0</v>
      </c>
      <c r="K16" s="30">
        <f>COUNTIFS('AT. MEDICAS 2024'!$A$9:$A$874,"09/01/2025",'AT. MEDICAS 2024'!$I$9:$I$874,I16)</f>
        <v>0</v>
      </c>
      <c r="L16" s="30">
        <f>COUNTIFS('AT. MEDICAS 2024'!$A$9:$A$874,"10/01/2025",'AT. MEDICAS 2024'!$I$9:$I$874,J16)</f>
        <v>0</v>
      </c>
      <c r="M16" s="30">
        <f>COUNTIFS('AT. MEDICAS 2024'!$A$9:$A$874,"11/01/2025",'AT. MEDICAS 2024'!$I$9:$I$874,K16)</f>
        <v>0</v>
      </c>
      <c r="N16" s="30">
        <f>COUNTIFS('AT. MEDICAS 2024'!$A$9:$A$874,"12/01/2025",'AT. MEDICAS 2024'!$I$9:$I$874,L16)</f>
        <v>0</v>
      </c>
      <c r="O16" s="30">
        <f>COUNTIFS('AT. MEDICAS 2024'!$A$9:$A$874,"13/01/2025",'AT. MEDICAS 2024'!$I$9:$I$874,M16)</f>
        <v>0</v>
      </c>
      <c r="P16" s="30">
        <f>COUNTIFS('AT. MEDICAS 2024'!$A$9:$A$874,"14/01/2025",'AT. MEDICAS 2024'!$I$9:$I$874,N16)</f>
        <v>0</v>
      </c>
      <c r="Q16" s="30">
        <f>COUNTIFS('AT. MEDICAS 2024'!$A$9:$A$874,"15/01/2025",'AT. MEDICAS 2024'!$I$9:$I$874,O16)</f>
        <v>0</v>
      </c>
      <c r="R16" s="30">
        <f>COUNTIFS('AT. MEDICAS 2024'!$A$9:$A$874,"16/01/2025",'AT. MEDICAS 2024'!$I$9:$I$874,P16)</f>
        <v>0</v>
      </c>
      <c r="S16" s="30">
        <f>COUNTIFS('AT. MEDICAS 2024'!$A$9:$A$874,"17/01/2025",'AT. MEDICAS 2024'!$I$9:$I$874,Q16)</f>
        <v>0</v>
      </c>
      <c r="T16" s="30">
        <f>COUNTIFS('AT. MEDICAS 2024'!$A$9:$A$874,"18/01/2025",'AT. MEDICAS 2024'!$I$9:$I$874,R16)</f>
        <v>0</v>
      </c>
      <c r="U16" s="30">
        <f>COUNTIFS('AT. MEDICAS 2024'!$A$9:$A$874,"19/01/2025",'AT. MEDICAS 2024'!$I$9:$I$874,S16)</f>
        <v>0</v>
      </c>
      <c r="V16" s="30">
        <f>COUNTIFS('AT. MEDICAS 2024'!$A$9:$A$874,"20/01/2025",'AT. MEDICAS 2024'!$I$9:$I$874,T16)</f>
        <v>0</v>
      </c>
      <c r="W16" s="30">
        <f>COUNTIFS('AT. MEDICAS 2024'!$A$9:$A$874,"21/01/2025",'AT. MEDICAS 2024'!$I$9:$I$874,U16)</f>
        <v>0</v>
      </c>
      <c r="X16" s="30">
        <f>COUNTIFS('AT. MEDICAS 2024'!$A$9:$A$874,"22/01/2025",'AT. MEDICAS 2024'!$I$9:$I$874,V16)</f>
        <v>0</v>
      </c>
      <c r="Y16" s="30">
        <f>COUNTIFS('AT. MEDICAS 2024'!$A$9:$A$874,"23/01/2025",'AT. MEDICAS 2024'!$I$9:$I$874,W16)</f>
        <v>0</v>
      </c>
      <c r="Z16" s="30">
        <f>COUNTIFS('AT. MEDICAS 2024'!$A$9:$A$874,"24/01/2025",'AT. MEDICAS 2024'!$I$9:$I$874,X16)</f>
        <v>0</v>
      </c>
      <c r="AA16" s="30">
        <f>COUNTIFS('AT. MEDICAS 2024'!$A$9:$A$874,"25/01/2025",'AT. MEDICAS 2024'!$I$9:$I$874,Y16)</f>
        <v>0</v>
      </c>
      <c r="AB16" s="30">
        <f>COUNTIFS('AT. MEDICAS 2024'!$A$9:$A$874,"26/01/2025",'AT. MEDICAS 2024'!$I$9:$I$874,Z16)</f>
        <v>0</v>
      </c>
      <c r="AC16" s="30">
        <f>COUNTIFS('AT. MEDICAS 2024'!$A$9:$A$874,"27/01/2025",'AT. MEDICAS 2024'!$I$9:$I$874,AA16)</f>
        <v>0</v>
      </c>
      <c r="AD16" s="30">
        <f>COUNTIFS('AT. MEDICAS 2024'!$A$9:$A$874,"28/01/2025",'AT. MEDICAS 2024'!$I$9:$I$874,AB16)</f>
        <v>0</v>
      </c>
      <c r="AE16" s="30">
        <f>COUNTIFS('AT. MEDICAS 2024'!$A$9:$A$874,"29/01/2025",'AT. MEDICAS 2024'!$I$9:$I$874,AC16)</f>
        <v>0</v>
      </c>
      <c r="AF16" s="30">
        <f>COUNTIFS('AT. MEDICAS 2024'!$A$9:$A$874,"30/01/2025",'AT. MEDICAS 2024'!$I$9:$I$874,AD16)</f>
        <v>0</v>
      </c>
      <c r="AG16" s="30">
        <f>COUNTIFS('AT. MEDICAS 2024'!$A$9:$A$874,"31/01/2025",'AT. MEDICAS 2024'!$I$9:$I$874,AE16)</f>
        <v>0</v>
      </c>
      <c r="AH16" s="55">
        <f t="shared" si="0"/>
        <v>0</v>
      </c>
      <c r="AJ16" s="54" t="s">
        <v>46</v>
      </c>
      <c r="AL16" s="30">
        <f t="shared" si="2"/>
        <v>0</v>
      </c>
      <c r="AM16" s="62" t="e">
        <f t="shared" si="3"/>
        <v>#DIV/0!</v>
      </c>
      <c r="AN16" s="30">
        <f t="shared" si="4"/>
        <v>0</v>
      </c>
      <c r="AO16" s="62" t="e">
        <f t="shared" si="5"/>
        <v>#DIV/0!</v>
      </c>
      <c r="AP16" s="30">
        <f t="shared" si="6"/>
        <v>0</v>
      </c>
      <c r="AQ16" s="62" t="e">
        <f t="shared" si="7"/>
        <v>#DIV/0!</v>
      </c>
      <c r="AR16" s="30">
        <f t="shared" si="8"/>
        <v>0</v>
      </c>
      <c r="AS16" s="62" t="e">
        <f t="shared" si="9"/>
        <v>#DIV/0!</v>
      </c>
      <c r="AU16" s="30">
        <f t="shared" si="10"/>
        <v>0</v>
      </c>
      <c r="AV16" s="62" t="e">
        <f t="shared" si="1"/>
        <v>#DIV/0!</v>
      </c>
    </row>
    <row r="17" spans="1:48" ht="15" customHeight="1" thickBot="1" x14ac:dyDescent="0.3">
      <c r="A17" s="41">
        <v>7</v>
      </c>
      <c r="B17" s="54" t="s">
        <v>36</v>
      </c>
      <c r="C17" s="30">
        <f>COUNTIFS('AT. MEDICAS 2024'!$A$9:$A$874,"01/01/2025",'AT. MEDICAS 2024'!$I$9:$I$874,B17)</f>
        <v>0</v>
      </c>
      <c r="D17" s="30">
        <f>COUNTIFS('AT. MEDICAS 2024'!$A$9:$A$874,"02/01/2025",'AT. MEDICAS 2024'!$I$9:$I$874,B17)</f>
        <v>0</v>
      </c>
      <c r="E17" s="30">
        <f>COUNTIFS('AT. MEDICAS 2024'!$A$9:$A$874,"03/01/2025",'AT. MEDICAS 2024'!$I$9:$I$874,C17)</f>
        <v>0</v>
      </c>
      <c r="F17" s="30">
        <f>COUNTIFS('AT. MEDICAS 2024'!$A$9:$A$874,"04/01/2025",'AT. MEDICAS 2024'!$I$9:$I$874,D17)</f>
        <v>0</v>
      </c>
      <c r="G17" s="30">
        <f>COUNTIFS('AT. MEDICAS 2024'!$A$9:$A$874,"05/01/2025",'AT. MEDICAS 2024'!$I$9:$I$874,E17)</f>
        <v>0</v>
      </c>
      <c r="H17" s="30">
        <f>COUNTIFS('AT. MEDICAS 2024'!$A$9:$A$874,"06/01/2025",'AT. MEDICAS 2024'!$I$9:$I$874,F17)</f>
        <v>0</v>
      </c>
      <c r="I17" s="30">
        <f>COUNTIFS('AT. MEDICAS 2024'!$A$9:$A$874,"07/01/2025",'AT. MEDICAS 2024'!$I$9:$I$874,G17)</f>
        <v>0</v>
      </c>
      <c r="J17" s="30">
        <f>COUNTIFS('AT. MEDICAS 2024'!$A$9:$A$874,"08/01/2025",'AT. MEDICAS 2024'!$I$9:$I$874,H17)</f>
        <v>0</v>
      </c>
      <c r="K17" s="30">
        <f>COUNTIFS('AT. MEDICAS 2024'!$A$9:$A$874,"09/01/2025",'AT. MEDICAS 2024'!$I$9:$I$874,I17)</f>
        <v>0</v>
      </c>
      <c r="L17" s="30">
        <f>COUNTIFS('AT. MEDICAS 2024'!$A$9:$A$874,"10/01/2025",'AT. MEDICAS 2024'!$I$9:$I$874,J17)</f>
        <v>0</v>
      </c>
      <c r="M17" s="30">
        <f>COUNTIFS('AT. MEDICAS 2024'!$A$9:$A$874,"11/01/2025",'AT. MEDICAS 2024'!$I$9:$I$874,K17)</f>
        <v>0</v>
      </c>
      <c r="N17" s="30">
        <f>COUNTIFS('AT. MEDICAS 2024'!$A$9:$A$874,"12/01/2025",'AT. MEDICAS 2024'!$I$9:$I$874,L17)</f>
        <v>0</v>
      </c>
      <c r="O17" s="30">
        <f>COUNTIFS('AT. MEDICAS 2024'!$A$9:$A$874,"13/01/2025",'AT. MEDICAS 2024'!$I$9:$I$874,M17)</f>
        <v>0</v>
      </c>
      <c r="P17" s="30">
        <f>COUNTIFS('AT. MEDICAS 2024'!$A$9:$A$874,"14/01/2025",'AT. MEDICAS 2024'!$I$9:$I$874,N17)</f>
        <v>0</v>
      </c>
      <c r="Q17" s="30">
        <f>COUNTIFS('AT. MEDICAS 2024'!$A$9:$A$874,"15/01/2025",'AT. MEDICAS 2024'!$I$9:$I$874,O17)</f>
        <v>0</v>
      </c>
      <c r="R17" s="30">
        <f>COUNTIFS('AT. MEDICAS 2024'!$A$9:$A$874,"16/01/2025",'AT. MEDICAS 2024'!$I$9:$I$874,P17)</f>
        <v>0</v>
      </c>
      <c r="S17" s="30">
        <f>COUNTIFS('AT. MEDICAS 2024'!$A$9:$A$874,"17/01/2025",'AT. MEDICAS 2024'!$I$9:$I$874,Q17)</f>
        <v>0</v>
      </c>
      <c r="T17" s="30">
        <f>COUNTIFS('AT. MEDICAS 2024'!$A$9:$A$874,"18/01/2025",'AT. MEDICAS 2024'!$I$9:$I$874,R17)</f>
        <v>0</v>
      </c>
      <c r="U17" s="30">
        <f>COUNTIFS('AT. MEDICAS 2024'!$A$9:$A$874,"19/01/2025",'AT. MEDICAS 2024'!$I$9:$I$874,S17)</f>
        <v>0</v>
      </c>
      <c r="V17" s="30">
        <f>COUNTIFS('AT. MEDICAS 2024'!$A$9:$A$874,"20/01/2025",'AT. MEDICAS 2024'!$I$9:$I$874,T17)</f>
        <v>0</v>
      </c>
      <c r="W17" s="30">
        <f>COUNTIFS('AT. MEDICAS 2024'!$A$9:$A$874,"21/01/2025",'AT. MEDICAS 2024'!$I$9:$I$874,U17)</f>
        <v>0</v>
      </c>
      <c r="X17" s="30">
        <f>COUNTIFS('AT. MEDICAS 2024'!$A$9:$A$874,"22/01/2025",'AT. MEDICAS 2024'!$I$9:$I$874,V17)</f>
        <v>0</v>
      </c>
      <c r="Y17" s="30">
        <f>COUNTIFS('AT. MEDICAS 2024'!$A$9:$A$874,"23/01/2025",'AT. MEDICAS 2024'!$I$9:$I$874,W17)</f>
        <v>0</v>
      </c>
      <c r="Z17" s="30">
        <f>COUNTIFS('AT. MEDICAS 2024'!$A$9:$A$874,"24/01/2025",'AT. MEDICAS 2024'!$I$9:$I$874,X17)</f>
        <v>0</v>
      </c>
      <c r="AA17" s="30">
        <f>COUNTIFS('AT. MEDICAS 2024'!$A$9:$A$874,"25/01/2025",'AT. MEDICAS 2024'!$I$9:$I$874,Y17)</f>
        <v>0</v>
      </c>
      <c r="AB17" s="30">
        <f>COUNTIFS('AT. MEDICAS 2024'!$A$9:$A$874,"26/01/2025",'AT. MEDICAS 2024'!$I$9:$I$874,Z17)</f>
        <v>0</v>
      </c>
      <c r="AC17" s="30">
        <f>COUNTIFS('AT. MEDICAS 2024'!$A$9:$A$874,"27/01/2025",'AT. MEDICAS 2024'!$I$9:$I$874,AA17)</f>
        <v>0</v>
      </c>
      <c r="AD17" s="30">
        <f>COUNTIFS('AT. MEDICAS 2024'!$A$9:$A$874,"28/01/2025",'AT. MEDICAS 2024'!$I$9:$I$874,AB17)</f>
        <v>0</v>
      </c>
      <c r="AE17" s="30">
        <f>COUNTIFS('AT. MEDICAS 2024'!$A$9:$A$874,"29/01/2025",'AT. MEDICAS 2024'!$I$9:$I$874,AC17)</f>
        <v>0</v>
      </c>
      <c r="AF17" s="30">
        <f>COUNTIFS('AT. MEDICAS 2024'!$A$9:$A$874,"30/01/2025",'AT. MEDICAS 2024'!$I$9:$I$874,AD17)</f>
        <v>0</v>
      </c>
      <c r="AG17" s="30">
        <f>COUNTIFS('AT. MEDICAS 2024'!$A$9:$A$874,"31/01/2025",'AT. MEDICAS 2024'!$I$9:$I$874,AE17)</f>
        <v>0</v>
      </c>
      <c r="AH17" s="55">
        <f t="shared" si="0"/>
        <v>0</v>
      </c>
      <c r="AJ17" s="54" t="s">
        <v>36</v>
      </c>
      <c r="AL17" s="30">
        <f t="shared" si="2"/>
        <v>0</v>
      </c>
      <c r="AM17" s="62" t="e">
        <f t="shared" si="3"/>
        <v>#DIV/0!</v>
      </c>
      <c r="AN17" s="30">
        <f t="shared" si="4"/>
        <v>0</v>
      </c>
      <c r="AO17" s="62" t="e">
        <f t="shared" si="5"/>
        <v>#DIV/0!</v>
      </c>
      <c r="AP17" s="30">
        <f t="shared" si="6"/>
        <v>0</v>
      </c>
      <c r="AQ17" s="62" t="e">
        <f t="shared" si="7"/>
        <v>#DIV/0!</v>
      </c>
      <c r="AR17" s="30">
        <f t="shared" si="8"/>
        <v>0</v>
      </c>
      <c r="AS17" s="62" t="e">
        <f t="shared" si="9"/>
        <v>#DIV/0!</v>
      </c>
      <c r="AU17" s="30">
        <f t="shared" si="10"/>
        <v>0</v>
      </c>
      <c r="AV17" s="62" t="e">
        <f t="shared" si="1"/>
        <v>#DIV/0!</v>
      </c>
    </row>
    <row r="18" spans="1:48" ht="15" customHeight="1" thickBot="1" x14ac:dyDescent="0.3">
      <c r="A18" s="41">
        <v>8</v>
      </c>
      <c r="B18" s="54" t="s">
        <v>92</v>
      </c>
      <c r="C18" s="30">
        <f>COUNTIFS('AT. MEDICAS 2024'!$A$9:$A$874,"01/01/2025",'AT. MEDICAS 2024'!$I$9:$I$874,B18)</f>
        <v>0</v>
      </c>
      <c r="D18" s="30">
        <f>COUNTIFS('AT. MEDICAS 2024'!$A$9:$A$874,"02/01/2025",'AT. MEDICAS 2024'!$I$9:$I$874,B18)</f>
        <v>0</v>
      </c>
      <c r="E18" s="30">
        <f>COUNTIFS('AT. MEDICAS 2024'!$A$9:$A$874,"03/01/2025",'AT. MEDICAS 2024'!$I$9:$I$874,C18)</f>
        <v>0</v>
      </c>
      <c r="F18" s="30">
        <f>COUNTIFS('AT. MEDICAS 2024'!$A$9:$A$874,"04/01/2025",'AT. MEDICAS 2024'!$I$9:$I$874,D18)</f>
        <v>0</v>
      </c>
      <c r="G18" s="30">
        <f>COUNTIFS('AT. MEDICAS 2024'!$A$9:$A$874,"05/01/2025",'AT. MEDICAS 2024'!$I$9:$I$874,E18)</f>
        <v>0</v>
      </c>
      <c r="H18" s="30">
        <f>COUNTIFS('AT. MEDICAS 2024'!$A$9:$A$874,"06/01/2025",'AT. MEDICAS 2024'!$I$9:$I$874,F18)</f>
        <v>0</v>
      </c>
      <c r="I18" s="30">
        <f>COUNTIFS('AT. MEDICAS 2024'!$A$9:$A$874,"07/01/2025",'AT. MEDICAS 2024'!$I$9:$I$874,G18)</f>
        <v>0</v>
      </c>
      <c r="J18" s="30">
        <f>COUNTIFS('AT. MEDICAS 2024'!$A$9:$A$874,"08/01/2025",'AT. MEDICAS 2024'!$I$9:$I$874,H18)</f>
        <v>0</v>
      </c>
      <c r="K18" s="30">
        <f>COUNTIFS('AT. MEDICAS 2024'!$A$9:$A$874,"09/01/2025",'AT. MEDICAS 2024'!$I$9:$I$874,I18)</f>
        <v>0</v>
      </c>
      <c r="L18" s="30">
        <f>COUNTIFS('AT. MEDICAS 2024'!$A$9:$A$874,"10/01/2025",'AT. MEDICAS 2024'!$I$9:$I$874,J18)</f>
        <v>0</v>
      </c>
      <c r="M18" s="30">
        <f>COUNTIFS('AT. MEDICAS 2024'!$A$9:$A$874,"11/01/2025",'AT. MEDICAS 2024'!$I$9:$I$874,K18)</f>
        <v>0</v>
      </c>
      <c r="N18" s="30">
        <f>COUNTIFS('AT. MEDICAS 2024'!$A$9:$A$874,"12/01/2025",'AT. MEDICAS 2024'!$I$9:$I$874,L18)</f>
        <v>0</v>
      </c>
      <c r="O18" s="30">
        <f>COUNTIFS('AT. MEDICAS 2024'!$A$9:$A$874,"13/01/2025",'AT. MEDICAS 2024'!$I$9:$I$874,M18)</f>
        <v>0</v>
      </c>
      <c r="P18" s="30">
        <f>COUNTIFS('AT. MEDICAS 2024'!$A$9:$A$874,"14/01/2025",'AT. MEDICAS 2024'!$I$9:$I$874,N18)</f>
        <v>0</v>
      </c>
      <c r="Q18" s="30">
        <f>COUNTIFS('AT. MEDICAS 2024'!$A$9:$A$874,"15/01/2025",'AT. MEDICAS 2024'!$I$9:$I$874,O18)</f>
        <v>0</v>
      </c>
      <c r="R18" s="30">
        <f>COUNTIFS('AT. MEDICAS 2024'!$A$9:$A$874,"16/01/2025",'AT. MEDICAS 2024'!$I$9:$I$874,P18)</f>
        <v>0</v>
      </c>
      <c r="S18" s="30">
        <f>COUNTIFS('AT. MEDICAS 2024'!$A$9:$A$874,"17/01/2025",'AT. MEDICAS 2024'!$I$9:$I$874,Q18)</f>
        <v>0</v>
      </c>
      <c r="T18" s="30">
        <f>COUNTIFS('AT. MEDICAS 2024'!$A$9:$A$874,"18/01/2025",'AT. MEDICAS 2024'!$I$9:$I$874,R18)</f>
        <v>0</v>
      </c>
      <c r="U18" s="30">
        <f>COUNTIFS('AT. MEDICAS 2024'!$A$9:$A$874,"19/01/2025",'AT. MEDICAS 2024'!$I$9:$I$874,S18)</f>
        <v>0</v>
      </c>
      <c r="V18" s="30">
        <f>COUNTIFS('AT. MEDICAS 2024'!$A$9:$A$874,"20/01/2025",'AT. MEDICAS 2024'!$I$9:$I$874,T18)</f>
        <v>0</v>
      </c>
      <c r="W18" s="30">
        <f>COUNTIFS('AT. MEDICAS 2024'!$A$9:$A$874,"21/01/2025",'AT. MEDICAS 2024'!$I$9:$I$874,U18)</f>
        <v>0</v>
      </c>
      <c r="X18" s="30">
        <f>COUNTIFS('AT. MEDICAS 2024'!$A$9:$A$874,"22/01/2025",'AT. MEDICAS 2024'!$I$9:$I$874,V18)</f>
        <v>0</v>
      </c>
      <c r="Y18" s="30">
        <f>COUNTIFS('AT. MEDICAS 2024'!$A$9:$A$874,"23/01/2025",'AT. MEDICAS 2024'!$I$9:$I$874,W18)</f>
        <v>0</v>
      </c>
      <c r="Z18" s="30">
        <f>COUNTIFS('AT. MEDICAS 2024'!$A$9:$A$874,"24/01/2025",'AT. MEDICAS 2024'!$I$9:$I$874,X18)</f>
        <v>0</v>
      </c>
      <c r="AA18" s="30">
        <f>COUNTIFS('AT. MEDICAS 2024'!$A$9:$A$874,"25/01/2025",'AT. MEDICAS 2024'!$I$9:$I$874,Y18)</f>
        <v>0</v>
      </c>
      <c r="AB18" s="30">
        <f>COUNTIFS('AT. MEDICAS 2024'!$A$9:$A$874,"26/01/2025",'AT. MEDICAS 2024'!$I$9:$I$874,Z18)</f>
        <v>0</v>
      </c>
      <c r="AC18" s="30">
        <f>COUNTIFS('AT. MEDICAS 2024'!$A$9:$A$874,"27/01/2025",'AT. MEDICAS 2024'!$I$9:$I$874,AA18)</f>
        <v>0</v>
      </c>
      <c r="AD18" s="30">
        <f>COUNTIFS('AT. MEDICAS 2024'!$A$9:$A$874,"28/01/2025",'AT. MEDICAS 2024'!$I$9:$I$874,AB18)</f>
        <v>0</v>
      </c>
      <c r="AE18" s="30">
        <f>COUNTIFS('AT. MEDICAS 2024'!$A$9:$A$874,"29/01/2025",'AT. MEDICAS 2024'!$I$9:$I$874,AC18)</f>
        <v>0</v>
      </c>
      <c r="AF18" s="30">
        <f>COUNTIFS('AT. MEDICAS 2024'!$A$9:$A$874,"30/01/2025",'AT. MEDICAS 2024'!$I$9:$I$874,AD18)</f>
        <v>0</v>
      </c>
      <c r="AG18" s="30">
        <f>COUNTIFS('AT. MEDICAS 2024'!$A$9:$A$874,"31/01/2025",'AT. MEDICAS 2024'!$I$9:$I$874,AE18)</f>
        <v>0</v>
      </c>
      <c r="AH18" s="55">
        <f t="shared" si="0"/>
        <v>0</v>
      </c>
      <c r="AJ18" s="54" t="s">
        <v>92</v>
      </c>
      <c r="AL18" s="30">
        <f t="shared" si="2"/>
        <v>0</v>
      </c>
      <c r="AM18" s="62" t="e">
        <f t="shared" si="3"/>
        <v>#DIV/0!</v>
      </c>
      <c r="AN18" s="30">
        <f t="shared" si="4"/>
        <v>0</v>
      </c>
      <c r="AO18" s="62" t="e">
        <f t="shared" si="5"/>
        <v>#DIV/0!</v>
      </c>
      <c r="AP18" s="30">
        <f t="shared" si="6"/>
        <v>0</v>
      </c>
      <c r="AQ18" s="62" t="e">
        <f t="shared" si="7"/>
        <v>#DIV/0!</v>
      </c>
      <c r="AR18" s="30">
        <f t="shared" si="8"/>
        <v>0</v>
      </c>
      <c r="AS18" s="62" t="e">
        <f t="shared" si="9"/>
        <v>#DIV/0!</v>
      </c>
      <c r="AU18" s="30">
        <f t="shared" si="10"/>
        <v>0</v>
      </c>
      <c r="AV18" s="62" t="e">
        <f t="shared" si="1"/>
        <v>#DIV/0!</v>
      </c>
    </row>
    <row r="19" spans="1:48" ht="15" customHeight="1" thickBot="1" x14ac:dyDescent="0.3">
      <c r="A19" s="41">
        <v>9</v>
      </c>
      <c r="B19" s="54" t="s">
        <v>188</v>
      </c>
      <c r="C19" s="30">
        <f>COUNTIFS('AT. MEDICAS 2024'!$A$9:$A$874,"01/01/2025",'AT. MEDICAS 2024'!$I$9:$I$874,B19)</f>
        <v>0</v>
      </c>
      <c r="D19" s="30">
        <f>COUNTIFS('AT. MEDICAS 2024'!$A$9:$A$874,"02/01/2025",'AT. MEDICAS 2024'!$I$9:$I$874,B19)</f>
        <v>0</v>
      </c>
      <c r="E19" s="30">
        <f>COUNTIFS('AT. MEDICAS 2024'!$A$9:$A$874,"03/01/2025",'AT. MEDICAS 2024'!$I$9:$I$874,C19)</f>
        <v>0</v>
      </c>
      <c r="F19" s="30">
        <f>COUNTIFS('AT. MEDICAS 2024'!$A$9:$A$874,"04/01/2025",'AT. MEDICAS 2024'!$I$9:$I$874,D19)</f>
        <v>0</v>
      </c>
      <c r="G19" s="30">
        <f>COUNTIFS('AT. MEDICAS 2024'!$A$9:$A$874,"05/01/2025",'AT. MEDICAS 2024'!$I$9:$I$874,E19)</f>
        <v>0</v>
      </c>
      <c r="H19" s="30">
        <f>COUNTIFS('AT. MEDICAS 2024'!$A$9:$A$874,"06/01/2025",'AT. MEDICAS 2024'!$I$9:$I$874,F19)</f>
        <v>0</v>
      </c>
      <c r="I19" s="30">
        <f>COUNTIFS('AT. MEDICAS 2024'!$A$9:$A$874,"07/01/2025",'AT. MEDICAS 2024'!$I$9:$I$874,G19)</f>
        <v>0</v>
      </c>
      <c r="J19" s="30">
        <f>COUNTIFS('AT. MEDICAS 2024'!$A$9:$A$874,"08/01/2025",'AT. MEDICAS 2024'!$I$9:$I$874,H19)</f>
        <v>0</v>
      </c>
      <c r="K19" s="30">
        <f>COUNTIFS('AT. MEDICAS 2024'!$A$9:$A$874,"09/01/2025",'AT. MEDICAS 2024'!$I$9:$I$874,I19)</f>
        <v>0</v>
      </c>
      <c r="L19" s="30">
        <f>COUNTIFS('AT. MEDICAS 2024'!$A$9:$A$874,"10/01/2025",'AT. MEDICAS 2024'!$I$9:$I$874,J19)</f>
        <v>0</v>
      </c>
      <c r="M19" s="30">
        <f>COUNTIFS('AT. MEDICAS 2024'!$A$9:$A$874,"11/01/2025",'AT. MEDICAS 2024'!$I$9:$I$874,K19)</f>
        <v>0</v>
      </c>
      <c r="N19" s="30">
        <f>COUNTIFS('AT. MEDICAS 2024'!$A$9:$A$874,"12/01/2025",'AT. MEDICAS 2024'!$I$9:$I$874,L19)</f>
        <v>0</v>
      </c>
      <c r="O19" s="30">
        <f>COUNTIFS('AT. MEDICAS 2024'!$A$9:$A$874,"13/01/2025",'AT. MEDICAS 2024'!$I$9:$I$874,M19)</f>
        <v>0</v>
      </c>
      <c r="P19" s="30">
        <f>COUNTIFS('AT. MEDICAS 2024'!$A$9:$A$874,"14/01/2025",'AT. MEDICAS 2024'!$I$9:$I$874,N19)</f>
        <v>0</v>
      </c>
      <c r="Q19" s="30">
        <f>COUNTIFS('AT. MEDICAS 2024'!$A$9:$A$874,"15/01/2025",'AT. MEDICAS 2024'!$I$9:$I$874,O19)</f>
        <v>0</v>
      </c>
      <c r="R19" s="30">
        <f>COUNTIFS('AT. MEDICAS 2024'!$A$9:$A$874,"16/01/2025",'AT. MEDICAS 2024'!$I$9:$I$874,P19)</f>
        <v>0</v>
      </c>
      <c r="S19" s="30">
        <f>COUNTIFS('AT. MEDICAS 2024'!$A$9:$A$874,"17/01/2025",'AT. MEDICAS 2024'!$I$9:$I$874,Q19)</f>
        <v>0</v>
      </c>
      <c r="T19" s="30">
        <f>COUNTIFS('AT. MEDICAS 2024'!$A$9:$A$874,"18/01/2025",'AT. MEDICAS 2024'!$I$9:$I$874,R19)</f>
        <v>0</v>
      </c>
      <c r="U19" s="30">
        <f>COUNTIFS('AT. MEDICAS 2024'!$A$9:$A$874,"19/01/2025",'AT. MEDICAS 2024'!$I$9:$I$874,S19)</f>
        <v>0</v>
      </c>
      <c r="V19" s="30">
        <f>COUNTIFS('AT. MEDICAS 2024'!$A$9:$A$874,"20/01/2025",'AT. MEDICAS 2024'!$I$9:$I$874,T19)</f>
        <v>0</v>
      </c>
      <c r="W19" s="30">
        <f>COUNTIFS('AT. MEDICAS 2024'!$A$9:$A$874,"21/01/2025",'AT. MEDICAS 2024'!$I$9:$I$874,U19)</f>
        <v>0</v>
      </c>
      <c r="X19" s="30">
        <f>COUNTIFS('AT. MEDICAS 2024'!$A$9:$A$874,"22/01/2025",'AT. MEDICAS 2024'!$I$9:$I$874,V19)</f>
        <v>0</v>
      </c>
      <c r="Y19" s="30">
        <f>COUNTIFS('AT. MEDICAS 2024'!$A$9:$A$874,"23/01/2025",'AT. MEDICAS 2024'!$I$9:$I$874,W19)</f>
        <v>0</v>
      </c>
      <c r="Z19" s="30">
        <f>COUNTIFS('AT. MEDICAS 2024'!$A$9:$A$874,"24/01/2025",'AT. MEDICAS 2024'!$I$9:$I$874,X19)</f>
        <v>0</v>
      </c>
      <c r="AA19" s="30">
        <f>COUNTIFS('AT. MEDICAS 2024'!$A$9:$A$874,"25/01/2025",'AT. MEDICAS 2024'!$I$9:$I$874,Y19)</f>
        <v>0</v>
      </c>
      <c r="AB19" s="30">
        <f>COUNTIFS('AT. MEDICAS 2024'!$A$9:$A$874,"26/01/2025",'AT. MEDICAS 2024'!$I$9:$I$874,Z19)</f>
        <v>0</v>
      </c>
      <c r="AC19" s="30">
        <f>COUNTIFS('AT. MEDICAS 2024'!$A$9:$A$874,"27/01/2025",'AT. MEDICAS 2024'!$I$9:$I$874,AA19)</f>
        <v>0</v>
      </c>
      <c r="AD19" s="30">
        <f>COUNTIFS('AT. MEDICAS 2024'!$A$9:$A$874,"28/01/2025",'AT. MEDICAS 2024'!$I$9:$I$874,AB19)</f>
        <v>0</v>
      </c>
      <c r="AE19" s="30">
        <f>COUNTIFS('AT. MEDICAS 2024'!$A$9:$A$874,"29/01/2025",'AT. MEDICAS 2024'!$I$9:$I$874,AC19)</f>
        <v>0</v>
      </c>
      <c r="AF19" s="30">
        <f>COUNTIFS('AT. MEDICAS 2024'!$A$9:$A$874,"30/01/2025",'AT. MEDICAS 2024'!$I$9:$I$874,AD19)</f>
        <v>0</v>
      </c>
      <c r="AG19" s="30">
        <f>COUNTIFS('AT. MEDICAS 2024'!$A$9:$A$874,"31/01/2025",'AT. MEDICAS 2024'!$I$9:$I$874,AE19)</f>
        <v>0</v>
      </c>
      <c r="AH19" s="55">
        <f t="shared" si="0"/>
        <v>0</v>
      </c>
      <c r="AJ19" s="54" t="s">
        <v>188</v>
      </c>
      <c r="AL19" s="30">
        <f t="shared" si="2"/>
        <v>0</v>
      </c>
      <c r="AM19" s="62" t="e">
        <f t="shared" si="3"/>
        <v>#DIV/0!</v>
      </c>
      <c r="AN19" s="30">
        <f t="shared" si="4"/>
        <v>0</v>
      </c>
      <c r="AO19" s="62" t="e">
        <f t="shared" si="5"/>
        <v>#DIV/0!</v>
      </c>
      <c r="AP19" s="30">
        <f t="shared" si="6"/>
        <v>0</v>
      </c>
      <c r="AQ19" s="62" t="e">
        <f t="shared" si="7"/>
        <v>#DIV/0!</v>
      </c>
      <c r="AR19" s="30">
        <f t="shared" si="8"/>
        <v>0</v>
      </c>
      <c r="AS19" s="62" t="e">
        <f t="shared" si="9"/>
        <v>#DIV/0!</v>
      </c>
      <c r="AU19" s="30">
        <f t="shared" si="10"/>
        <v>0</v>
      </c>
      <c r="AV19" s="62" t="e">
        <f t="shared" si="1"/>
        <v>#DIV/0!</v>
      </c>
    </row>
    <row r="20" spans="1:48" ht="15" customHeight="1" thickBot="1" x14ac:dyDescent="0.3">
      <c r="A20" s="41">
        <v>10</v>
      </c>
      <c r="B20" s="54" t="s">
        <v>97</v>
      </c>
      <c r="C20" s="30">
        <f>COUNTIFS('AT. MEDICAS 2024'!$A$9:$A$874,"01/01/2025",'AT. MEDICAS 2024'!$I$9:$I$874,B20)</f>
        <v>0</v>
      </c>
      <c r="D20" s="30">
        <f>COUNTIFS('AT. MEDICAS 2024'!$A$9:$A$874,"02/01/2025",'AT. MEDICAS 2024'!$I$9:$I$874,B20)</f>
        <v>0</v>
      </c>
      <c r="E20" s="30">
        <f>COUNTIFS('AT. MEDICAS 2024'!$A$9:$A$874,"03/01/2025",'AT. MEDICAS 2024'!$I$9:$I$874,C20)</f>
        <v>0</v>
      </c>
      <c r="F20" s="30">
        <f>COUNTIFS('AT. MEDICAS 2024'!$A$9:$A$874,"04/01/2025",'AT. MEDICAS 2024'!$I$9:$I$874,D20)</f>
        <v>0</v>
      </c>
      <c r="G20" s="30">
        <f>COUNTIFS('AT. MEDICAS 2024'!$A$9:$A$874,"05/01/2025",'AT. MEDICAS 2024'!$I$9:$I$874,E20)</f>
        <v>0</v>
      </c>
      <c r="H20" s="30">
        <f>COUNTIFS('AT. MEDICAS 2024'!$A$9:$A$874,"06/01/2025",'AT. MEDICAS 2024'!$I$9:$I$874,F20)</f>
        <v>0</v>
      </c>
      <c r="I20" s="30">
        <f>COUNTIFS('AT. MEDICAS 2024'!$A$9:$A$874,"07/01/2025",'AT. MEDICAS 2024'!$I$9:$I$874,G20)</f>
        <v>0</v>
      </c>
      <c r="J20" s="30">
        <f>COUNTIFS('AT. MEDICAS 2024'!$A$9:$A$874,"08/01/2025",'AT. MEDICAS 2024'!$I$9:$I$874,H20)</f>
        <v>0</v>
      </c>
      <c r="K20" s="30">
        <f>COUNTIFS('AT. MEDICAS 2024'!$A$9:$A$874,"09/01/2025",'AT. MEDICAS 2024'!$I$9:$I$874,I20)</f>
        <v>0</v>
      </c>
      <c r="L20" s="30">
        <f>COUNTIFS('AT. MEDICAS 2024'!$A$9:$A$874,"10/01/2025",'AT. MEDICAS 2024'!$I$9:$I$874,J20)</f>
        <v>0</v>
      </c>
      <c r="M20" s="30">
        <f>COUNTIFS('AT. MEDICAS 2024'!$A$9:$A$874,"11/01/2025",'AT. MEDICAS 2024'!$I$9:$I$874,K20)</f>
        <v>0</v>
      </c>
      <c r="N20" s="30">
        <f>COUNTIFS('AT. MEDICAS 2024'!$A$9:$A$874,"12/01/2025",'AT. MEDICAS 2024'!$I$9:$I$874,L20)</f>
        <v>0</v>
      </c>
      <c r="O20" s="30">
        <f>COUNTIFS('AT. MEDICAS 2024'!$A$9:$A$874,"13/01/2025",'AT. MEDICAS 2024'!$I$9:$I$874,M20)</f>
        <v>0</v>
      </c>
      <c r="P20" s="30">
        <f>COUNTIFS('AT. MEDICAS 2024'!$A$9:$A$874,"14/01/2025",'AT. MEDICAS 2024'!$I$9:$I$874,N20)</f>
        <v>0</v>
      </c>
      <c r="Q20" s="30">
        <f>COUNTIFS('AT. MEDICAS 2024'!$A$9:$A$874,"15/01/2025",'AT. MEDICAS 2024'!$I$9:$I$874,O20)</f>
        <v>0</v>
      </c>
      <c r="R20" s="30">
        <f>COUNTIFS('AT. MEDICAS 2024'!$A$9:$A$874,"16/01/2025",'AT. MEDICAS 2024'!$I$9:$I$874,P20)</f>
        <v>0</v>
      </c>
      <c r="S20" s="30">
        <f>COUNTIFS('AT. MEDICAS 2024'!$A$9:$A$874,"17/01/2025",'AT. MEDICAS 2024'!$I$9:$I$874,Q20)</f>
        <v>0</v>
      </c>
      <c r="T20" s="30">
        <f>COUNTIFS('AT. MEDICAS 2024'!$A$9:$A$874,"18/01/2025",'AT. MEDICAS 2024'!$I$9:$I$874,R20)</f>
        <v>0</v>
      </c>
      <c r="U20" s="30">
        <f>COUNTIFS('AT. MEDICAS 2024'!$A$9:$A$874,"19/01/2025",'AT. MEDICAS 2024'!$I$9:$I$874,S20)</f>
        <v>0</v>
      </c>
      <c r="V20" s="30">
        <f>COUNTIFS('AT. MEDICAS 2024'!$A$9:$A$874,"20/01/2025",'AT. MEDICAS 2024'!$I$9:$I$874,T20)</f>
        <v>0</v>
      </c>
      <c r="W20" s="30">
        <f>COUNTIFS('AT. MEDICAS 2024'!$A$9:$A$874,"21/01/2025",'AT. MEDICAS 2024'!$I$9:$I$874,U20)</f>
        <v>0</v>
      </c>
      <c r="X20" s="30">
        <f>COUNTIFS('AT. MEDICAS 2024'!$A$9:$A$874,"22/01/2025",'AT. MEDICAS 2024'!$I$9:$I$874,V20)</f>
        <v>0</v>
      </c>
      <c r="Y20" s="30">
        <f>COUNTIFS('AT. MEDICAS 2024'!$A$9:$A$874,"23/01/2025",'AT. MEDICAS 2024'!$I$9:$I$874,W20)</f>
        <v>0</v>
      </c>
      <c r="Z20" s="30">
        <f>COUNTIFS('AT. MEDICAS 2024'!$A$9:$A$874,"24/01/2025",'AT. MEDICAS 2024'!$I$9:$I$874,X20)</f>
        <v>0</v>
      </c>
      <c r="AA20" s="30">
        <f>COUNTIFS('AT. MEDICAS 2024'!$A$9:$A$874,"25/01/2025",'AT. MEDICAS 2024'!$I$9:$I$874,Y20)</f>
        <v>0</v>
      </c>
      <c r="AB20" s="30">
        <f>COUNTIFS('AT. MEDICAS 2024'!$A$9:$A$874,"26/01/2025",'AT. MEDICAS 2024'!$I$9:$I$874,Z20)</f>
        <v>0</v>
      </c>
      <c r="AC20" s="30">
        <f>COUNTIFS('AT. MEDICAS 2024'!$A$9:$A$874,"27/01/2025",'AT. MEDICAS 2024'!$I$9:$I$874,AA20)</f>
        <v>0</v>
      </c>
      <c r="AD20" s="30">
        <f>COUNTIFS('AT. MEDICAS 2024'!$A$9:$A$874,"28/01/2025",'AT. MEDICAS 2024'!$I$9:$I$874,AB20)</f>
        <v>0</v>
      </c>
      <c r="AE20" s="30">
        <f>COUNTIFS('AT. MEDICAS 2024'!$A$9:$A$874,"29/01/2025",'AT. MEDICAS 2024'!$I$9:$I$874,AC20)</f>
        <v>0</v>
      </c>
      <c r="AF20" s="30">
        <f>COUNTIFS('AT. MEDICAS 2024'!$A$9:$A$874,"30/01/2025",'AT. MEDICAS 2024'!$I$9:$I$874,AD20)</f>
        <v>0</v>
      </c>
      <c r="AG20" s="30">
        <f>COUNTIFS('AT. MEDICAS 2024'!$A$9:$A$874,"31/01/2025",'AT. MEDICAS 2024'!$I$9:$I$874,AE20)</f>
        <v>0</v>
      </c>
      <c r="AH20" s="55">
        <f t="shared" si="0"/>
        <v>0</v>
      </c>
      <c r="AJ20" s="54" t="s">
        <v>97</v>
      </c>
      <c r="AL20" s="30">
        <f t="shared" si="2"/>
        <v>0</v>
      </c>
      <c r="AM20" s="62" t="e">
        <f t="shared" si="3"/>
        <v>#DIV/0!</v>
      </c>
      <c r="AN20" s="30">
        <f t="shared" si="4"/>
        <v>0</v>
      </c>
      <c r="AO20" s="62" t="e">
        <f t="shared" si="5"/>
        <v>#DIV/0!</v>
      </c>
      <c r="AP20" s="30">
        <f t="shared" si="6"/>
        <v>0</v>
      </c>
      <c r="AQ20" s="62" t="e">
        <f t="shared" si="7"/>
        <v>#DIV/0!</v>
      </c>
      <c r="AR20" s="30">
        <f t="shared" si="8"/>
        <v>0</v>
      </c>
      <c r="AS20" s="62" t="e">
        <f t="shared" si="9"/>
        <v>#DIV/0!</v>
      </c>
      <c r="AU20" s="30">
        <f t="shared" si="10"/>
        <v>0</v>
      </c>
      <c r="AV20" s="62" t="e">
        <f t="shared" si="1"/>
        <v>#DIV/0!</v>
      </c>
    </row>
    <row r="21" spans="1:48" ht="15" customHeight="1" thickBot="1" x14ac:dyDescent="0.3">
      <c r="A21" s="41">
        <v>11</v>
      </c>
      <c r="B21" s="54" t="s">
        <v>21</v>
      </c>
      <c r="C21" s="30">
        <f>COUNTIFS('AT. MEDICAS 2024'!$A$9:$A$874,"01/01/2025",'AT. MEDICAS 2024'!$I$9:$I$874,B21)</f>
        <v>0</v>
      </c>
      <c r="D21" s="30">
        <f>COUNTIFS('AT. MEDICAS 2024'!$A$9:$A$874,"02/01/2025",'AT. MEDICAS 2024'!$I$9:$I$874,B21)</f>
        <v>0</v>
      </c>
      <c r="E21" s="30">
        <f>COUNTIFS('AT. MEDICAS 2024'!$A$9:$A$874,"03/01/2025",'AT. MEDICAS 2024'!$I$9:$I$874,C21)</f>
        <v>0</v>
      </c>
      <c r="F21" s="30">
        <f>COUNTIFS('AT. MEDICAS 2024'!$A$9:$A$874,"04/01/2025",'AT. MEDICAS 2024'!$I$9:$I$874,D21)</f>
        <v>0</v>
      </c>
      <c r="G21" s="30">
        <f>COUNTIFS('AT. MEDICAS 2024'!$A$9:$A$874,"05/01/2025",'AT. MEDICAS 2024'!$I$9:$I$874,E21)</f>
        <v>0</v>
      </c>
      <c r="H21" s="30">
        <f>COUNTIFS('AT. MEDICAS 2024'!$A$9:$A$874,"06/01/2025",'AT. MEDICAS 2024'!$I$9:$I$874,F21)</f>
        <v>0</v>
      </c>
      <c r="I21" s="30">
        <f>COUNTIFS('AT. MEDICAS 2024'!$A$9:$A$874,"07/01/2025",'AT. MEDICAS 2024'!$I$9:$I$874,G21)</f>
        <v>0</v>
      </c>
      <c r="J21" s="30">
        <f>COUNTIFS('AT. MEDICAS 2024'!$A$9:$A$874,"08/01/2025",'AT. MEDICAS 2024'!$I$9:$I$874,H21)</f>
        <v>0</v>
      </c>
      <c r="K21" s="30">
        <f>COUNTIFS('AT. MEDICAS 2024'!$A$9:$A$874,"09/01/2025",'AT. MEDICAS 2024'!$I$9:$I$874,I21)</f>
        <v>0</v>
      </c>
      <c r="L21" s="30">
        <f>COUNTIFS('AT. MEDICAS 2024'!$A$9:$A$874,"10/01/2025",'AT. MEDICAS 2024'!$I$9:$I$874,J21)</f>
        <v>0</v>
      </c>
      <c r="M21" s="30">
        <f>COUNTIFS('AT. MEDICAS 2024'!$A$9:$A$874,"11/01/2025",'AT. MEDICAS 2024'!$I$9:$I$874,K21)</f>
        <v>0</v>
      </c>
      <c r="N21" s="30">
        <f>COUNTIFS('AT. MEDICAS 2024'!$A$9:$A$874,"12/01/2025",'AT. MEDICAS 2024'!$I$9:$I$874,L21)</f>
        <v>0</v>
      </c>
      <c r="O21" s="30">
        <f>COUNTIFS('AT. MEDICAS 2024'!$A$9:$A$874,"13/01/2025",'AT. MEDICAS 2024'!$I$9:$I$874,M21)</f>
        <v>0</v>
      </c>
      <c r="P21" s="30">
        <f>COUNTIFS('AT. MEDICAS 2024'!$A$9:$A$874,"14/01/2025",'AT. MEDICAS 2024'!$I$9:$I$874,N21)</f>
        <v>0</v>
      </c>
      <c r="Q21" s="30">
        <f>COUNTIFS('AT. MEDICAS 2024'!$A$9:$A$874,"15/01/2025",'AT. MEDICAS 2024'!$I$9:$I$874,O21)</f>
        <v>0</v>
      </c>
      <c r="R21" s="30">
        <f>COUNTIFS('AT. MEDICAS 2024'!$A$9:$A$874,"16/01/2025",'AT. MEDICAS 2024'!$I$9:$I$874,P21)</f>
        <v>0</v>
      </c>
      <c r="S21" s="30">
        <f>COUNTIFS('AT. MEDICAS 2024'!$A$9:$A$874,"17/01/2025",'AT. MEDICAS 2024'!$I$9:$I$874,Q21)</f>
        <v>0</v>
      </c>
      <c r="T21" s="30">
        <f>COUNTIFS('AT. MEDICAS 2024'!$A$9:$A$874,"18/01/2025",'AT. MEDICAS 2024'!$I$9:$I$874,R21)</f>
        <v>0</v>
      </c>
      <c r="U21" s="30">
        <f>COUNTIFS('AT. MEDICAS 2024'!$A$9:$A$874,"19/01/2025",'AT. MEDICAS 2024'!$I$9:$I$874,S21)</f>
        <v>0</v>
      </c>
      <c r="V21" s="30">
        <f>COUNTIFS('AT. MEDICAS 2024'!$A$9:$A$874,"20/01/2025",'AT. MEDICAS 2024'!$I$9:$I$874,T21)</f>
        <v>0</v>
      </c>
      <c r="W21" s="30">
        <f>COUNTIFS('AT. MEDICAS 2024'!$A$9:$A$874,"21/01/2025",'AT. MEDICAS 2024'!$I$9:$I$874,U21)</f>
        <v>0</v>
      </c>
      <c r="X21" s="30">
        <f>COUNTIFS('AT. MEDICAS 2024'!$A$9:$A$874,"22/01/2025",'AT. MEDICAS 2024'!$I$9:$I$874,V21)</f>
        <v>0</v>
      </c>
      <c r="Y21" s="30">
        <f>COUNTIFS('AT. MEDICAS 2024'!$A$9:$A$874,"23/01/2025",'AT. MEDICAS 2024'!$I$9:$I$874,W21)</f>
        <v>0</v>
      </c>
      <c r="Z21" s="30">
        <f>COUNTIFS('AT. MEDICAS 2024'!$A$9:$A$874,"24/01/2025",'AT. MEDICAS 2024'!$I$9:$I$874,X21)</f>
        <v>0</v>
      </c>
      <c r="AA21" s="30">
        <f>COUNTIFS('AT. MEDICAS 2024'!$A$9:$A$874,"25/01/2025",'AT. MEDICAS 2024'!$I$9:$I$874,Y21)</f>
        <v>0</v>
      </c>
      <c r="AB21" s="30">
        <f>COUNTIFS('AT. MEDICAS 2024'!$A$9:$A$874,"26/01/2025",'AT. MEDICAS 2024'!$I$9:$I$874,Z21)</f>
        <v>0</v>
      </c>
      <c r="AC21" s="30">
        <f>COUNTIFS('AT. MEDICAS 2024'!$A$9:$A$874,"27/01/2025",'AT. MEDICAS 2024'!$I$9:$I$874,AA21)</f>
        <v>0</v>
      </c>
      <c r="AD21" s="30">
        <f>COUNTIFS('AT. MEDICAS 2024'!$A$9:$A$874,"28/01/2025",'AT. MEDICAS 2024'!$I$9:$I$874,AB21)</f>
        <v>0</v>
      </c>
      <c r="AE21" s="30">
        <f>COUNTIFS('AT. MEDICAS 2024'!$A$9:$A$874,"29/01/2025",'AT. MEDICAS 2024'!$I$9:$I$874,AC21)</f>
        <v>0</v>
      </c>
      <c r="AF21" s="30">
        <f>COUNTIFS('AT. MEDICAS 2024'!$A$9:$A$874,"30/01/2025",'AT. MEDICAS 2024'!$I$9:$I$874,AD21)</f>
        <v>0</v>
      </c>
      <c r="AG21" s="30">
        <f>COUNTIFS('AT. MEDICAS 2024'!$A$9:$A$874,"31/01/2025",'AT. MEDICAS 2024'!$I$9:$I$874,AE21)</f>
        <v>0</v>
      </c>
      <c r="AH21" s="55">
        <f t="shared" si="0"/>
        <v>0</v>
      </c>
      <c r="AJ21" s="54" t="s">
        <v>21</v>
      </c>
      <c r="AL21" s="30">
        <f t="shared" si="2"/>
        <v>0</v>
      </c>
      <c r="AM21" s="62" t="e">
        <f t="shared" si="3"/>
        <v>#DIV/0!</v>
      </c>
      <c r="AN21" s="30">
        <f t="shared" si="4"/>
        <v>0</v>
      </c>
      <c r="AO21" s="62" t="e">
        <f t="shared" si="5"/>
        <v>#DIV/0!</v>
      </c>
      <c r="AP21" s="30">
        <f t="shared" si="6"/>
        <v>0</v>
      </c>
      <c r="AQ21" s="62" t="e">
        <f t="shared" si="7"/>
        <v>#DIV/0!</v>
      </c>
      <c r="AR21" s="30">
        <f t="shared" si="8"/>
        <v>0</v>
      </c>
      <c r="AS21" s="62" t="e">
        <f t="shared" si="9"/>
        <v>#DIV/0!</v>
      </c>
      <c r="AU21" s="30">
        <f t="shared" si="10"/>
        <v>0</v>
      </c>
      <c r="AV21" s="62" t="e">
        <f t="shared" si="1"/>
        <v>#DIV/0!</v>
      </c>
    </row>
    <row r="22" spans="1:48" ht="15" customHeight="1" thickBot="1" x14ac:dyDescent="0.3">
      <c r="A22" s="41">
        <v>12</v>
      </c>
      <c r="B22" s="54" t="s">
        <v>23</v>
      </c>
      <c r="C22" s="30">
        <f>COUNTIFS('AT. MEDICAS 2024'!$A$9:$A$874,"01/01/2025",'AT. MEDICAS 2024'!$I$9:$I$874,B22)</f>
        <v>0</v>
      </c>
      <c r="D22" s="30">
        <f>COUNTIFS('AT. MEDICAS 2024'!$A$9:$A$874,"02/01/2025",'AT. MEDICAS 2024'!$I$9:$I$874,B22)</f>
        <v>0</v>
      </c>
      <c r="E22" s="30">
        <f>COUNTIFS('AT. MEDICAS 2024'!$A$9:$A$874,"03/01/2025",'AT. MEDICAS 2024'!$I$9:$I$874,C22)</f>
        <v>0</v>
      </c>
      <c r="F22" s="30">
        <f>COUNTIFS('AT. MEDICAS 2024'!$A$9:$A$874,"04/01/2025",'AT. MEDICAS 2024'!$I$9:$I$874,D22)</f>
        <v>0</v>
      </c>
      <c r="G22" s="30">
        <f>COUNTIFS('AT. MEDICAS 2024'!$A$9:$A$874,"05/01/2025",'AT. MEDICAS 2024'!$I$9:$I$874,E22)</f>
        <v>0</v>
      </c>
      <c r="H22" s="30">
        <f>COUNTIFS('AT. MEDICAS 2024'!$A$9:$A$874,"06/01/2025",'AT. MEDICAS 2024'!$I$9:$I$874,F22)</f>
        <v>0</v>
      </c>
      <c r="I22" s="30">
        <f>COUNTIFS('AT. MEDICAS 2024'!$A$9:$A$874,"07/01/2025",'AT. MEDICAS 2024'!$I$9:$I$874,G22)</f>
        <v>0</v>
      </c>
      <c r="J22" s="30">
        <f>COUNTIFS('AT. MEDICAS 2024'!$A$9:$A$874,"08/01/2025",'AT. MEDICAS 2024'!$I$9:$I$874,H22)</f>
        <v>0</v>
      </c>
      <c r="K22" s="30">
        <f>COUNTIFS('AT. MEDICAS 2024'!$A$9:$A$874,"09/01/2025",'AT. MEDICAS 2024'!$I$9:$I$874,I22)</f>
        <v>0</v>
      </c>
      <c r="L22" s="30">
        <f>COUNTIFS('AT. MEDICAS 2024'!$A$9:$A$874,"10/01/2025",'AT. MEDICAS 2024'!$I$9:$I$874,J22)</f>
        <v>0</v>
      </c>
      <c r="M22" s="30">
        <f>COUNTIFS('AT. MEDICAS 2024'!$A$9:$A$874,"11/01/2025",'AT. MEDICAS 2024'!$I$9:$I$874,K22)</f>
        <v>0</v>
      </c>
      <c r="N22" s="30">
        <f>COUNTIFS('AT. MEDICAS 2024'!$A$9:$A$874,"12/01/2025",'AT. MEDICAS 2024'!$I$9:$I$874,L22)</f>
        <v>0</v>
      </c>
      <c r="O22" s="30">
        <f>COUNTIFS('AT. MEDICAS 2024'!$A$9:$A$874,"13/01/2025",'AT. MEDICAS 2024'!$I$9:$I$874,M22)</f>
        <v>0</v>
      </c>
      <c r="P22" s="30">
        <f>COUNTIFS('AT. MEDICAS 2024'!$A$9:$A$874,"14/01/2025",'AT. MEDICAS 2024'!$I$9:$I$874,N22)</f>
        <v>0</v>
      </c>
      <c r="Q22" s="30">
        <f>COUNTIFS('AT. MEDICAS 2024'!$A$9:$A$874,"15/01/2025",'AT. MEDICAS 2024'!$I$9:$I$874,O22)</f>
        <v>0</v>
      </c>
      <c r="R22" s="30">
        <f>COUNTIFS('AT. MEDICAS 2024'!$A$9:$A$874,"16/01/2025",'AT. MEDICAS 2024'!$I$9:$I$874,P22)</f>
        <v>0</v>
      </c>
      <c r="S22" s="30">
        <f>COUNTIFS('AT. MEDICAS 2024'!$A$9:$A$874,"17/01/2025",'AT. MEDICAS 2024'!$I$9:$I$874,Q22)</f>
        <v>0</v>
      </c>
      <c r="T22" s="30">
        <f>COUNTIFS('AT. MEDICAS 2024'!$A$9:$A$874,"18/01/2025",'AT. MEDICAS 2024'!$I$9:$I$874,R22)</f>
        <v>0</v>
      </c>
      <c r="U22" s="30">
        <f>COUNTIFS('AT. MEDICAS 2024'!$A$9:$A$874,"19/01/2025",'AT. MEDICAS 2024'!$I$9:$I$874,S22)</f>
        <v>0</v>
      </c>
      <c r="V22" s="30">
        <f>COUNTIFS('AT. MEDICAS 2024'!$A$9:$A$874,"20/01/2025",'AT. MEDICAS 2024'!$I$9:$I$874,T22)</f>
        <v>0</v>
      </c>
      <c r="W22" s="30">
        <f>COUNTIFS('AT. MEDICAS 2024'!$A$9:$A$874,"21/01/2025",'AT. MEDICAS 2024'!$I$9:$I$874,U22)</f>
        <v>0</v>
      </c>
      <c r="X22" s="30">
        <f>COUNTIFS('AT. MEDICAS 2024'!$A$9:$A$874,"22/01/2025",'AT. MEDICAS 2024'!$I$9:$I$874,V22)</f>
        <v>0</v>
      </c>
      <c r="Y22" s="30">
        <f>COUNTIFS('AT. MEDICAS 2024'!$A$9:$A$874,"23/01/2025",'AT. MEDICAS 2024'!$I$9:$I$874,W22)</f>
        <v>0</v>
      </c>
      <c r="Z22" s="30">
        <f>COUNTIFS('AT. MEDICAS 2024'!$A$9:$A$874,"24/01/2025",'AT. MEDICAS 2024'!$I$9:$I$874,X22)</f>
        <v>0</v>
      </c>
      <c r="AA22" s="30">
        <f>COUNTIFS('AT. MEDICAS 2024'!$A$9:$A$874,"25/01/2025",'AT. MEDICAS 2024'!$I$9:$I$874,Y22)</f>
        <v>0</v>
      </c>
      <c r="AB22" s="30">
        <f>COUNTIFS('AT. MEDICAS 2024'!$A$9:$A$874,"26/01/2025",'AT. MEDICAS 2024'!$I$9:$I$874,Z22)</f>
        <v>0</v>
      </c>
      <c r="AC22" s="30">
        <f>COUNTIFS('AT. MEDICAS 2024'!$A$9:$A$874,"27/01/2025",'AT. MEDICAS 2024'!$I$9:$I$874,AA22)</f>
        <v>0</v>
      </c>
      <c r="AD22" s="30">
        <f>COUNTIFS('AT. MEDICAS 2024'!$A$9:$A$874,"28/01/2025",'AT. MEDICAS 2024'!$I$9:$I$874,AB22)</f>
        <v>0</v>
      </c>
      <c r="AE22" s="30">
        <f>COUNTIFS('AT. MEDICAS 2024'!$A$9:$A$874,"29/01/2025",'AT. MEDICAS 2024'!$I$9:$I$874,AC22)</f>
        <v>0</v>
      </c>
      <c r="AF22" s="30">
        <f>COUNTIFS('AT. MEDICAS 2024'!$A$9:$A$874,"30/01/2025",'AT. MEDICAS 2024'!$I$9:$I$874,AD22)</f>
        <v>0</v>
      </c>
      <c r="AG22" s="30">
        <f>COUNTIFS('AT. MEDICAS 2024'!$A$9:$A$874,"31/01/2025",'AT. MEDICAS 2024'!$I$9:$I$874,AE22)</f>
        <v>0</v>
      </c>
      <c r="AH22" s="55">
        <f t="shared" si="0"/>
        <v>0</v>
      </c>
      <c r="AJ22" s="54" t="s">
        <v>23</v>
      </c>
      <c r="AL22" s="30">
        <f t="shared" si="2"/>
        <v>0</v>
      </c>
      <c r="AM22" s="62" t="e">
        <f t="shared" si="3"/>
        <v>#DIV/0!</v>
      </c>
      <c r="AN22" s="30">
        <f t="shared" si="4"/>
        <v>0</v>
      </c>
      <c r="AO22" s="62" t="e">
        <f t="shared" si="5"/>
        <v>#DIV/0!</v>
      </c>
      <c r="AP22" s="30">
        <f t="shared" si="6"/>
        <v>0</v>
      </c>
      <c r="AQ22" s="62" t="e">
        <f t="shared" si="7"/>
        <v>#DIV/0!</v>
      </c>
      <c r="AR22" s="30">
        <f t="shared" si="8"/>
        <v>0</v>
      </c>
      <c r="AS22" s="62" t="e">
        <f t="shared" si="9"/>
        <v>#DIV/0!</v>
      </c>
      <c r="AU22" s="30">
        <f t="shared" si="10"/>
        <v>0</v>
      </c>
      <c r="AV22" s="62" t="e">
        <f t="shared" si="1"/>
        <v>#DIV/0!</v>
      </c>
    </row>
    <row r="23" spans="1:48" ht="15" customHeight="1" thickBot="1" x14ac:dyDescent="0.3">
      <c r="A23" s="41">
        <v>13</v>
      </c>
      <c r="B23" s="54" t="s">
        <v>57</v>
      </c>
      <c r="C23" s="30">
        <f>COUNTIFS('AT. MEDICAS 2024'!$A$9:$A$874,"01/01/2025",'AT. MEDICAS 2024'!$I$9:$I$874,B23)</f>
        <v>0</v>
      </c>
      <c r="D23" s="30">
        <f>COUNTIFS('AT. MEDICAS 2024'!$A$9:$A$874,"02/01/2025",'AT. MEDICAS 2024'!$I$9:$I$874,B23)</f>
        <v>0</v>
      </c>
      <c r="E23" s="30">
        <f>COUNTIFS('AT. MEDICAS 2024'!$A$9:$A$874,"03/01/2025",'AT. MEDICAS 2024'!$I$9:$I$874,C23)</f>
        <v>0</v>
      </c>
      <c r="F23" s="30">
        <f>COUNTIFS('AT. MEDICAS 2024'!$A$9:$A$874,"04/01/2025",'AT. MEDICAS 2024'!$I$9:$I$874,D23)</f>
        <v>0</v>
      </c>
      <c r="G23" s="30">
        <f>COUNTIFS('AT. MEDICAS 2024'!$A$9:$A$874,"05/01/2025",'AT. MEDICAS 2024'!$I$9:$I$874,E23)</f>
        <v>0</v>
      </c>
      <c r="H23" s="30">
        <f>COUNTIFS('AT. MEDICAS 2024'!$A$9:$A$874,"06/01/2025",'AT. MEDICAS 2024'!$I$9:$I$874,F23)</f>
        <v>0</v>
      </c>
      <c r="I23" s="30">
        <f>COUNTIFS('AT. MEDICAS 2024'!$A$9:$A$874,"07/01/2025",'AT. MEDICAS 2024'!$I$9:$I$874,G23)</f>
        <v>0</v>
      </c>
      <c r="J23" s="30">
        <f>COUNTIFS('AT. MEDICAS 2024'!$A$9:$A$874,"08/01/2025",'AT. MEDICAS 2024'!$I$9:$I$874,H23)</f>
        <v>0</v>
      </c>
      <c r="K23" s="30">
        <f>COUNTIFS('AT. MEDICAS 2024'!$A$9:$A$874,"09/01/2025",'AT. MEDICAS 2024'!$I$9:$I$874,I23)</f>
        <v>0</v>
      </c>
      <c r="L23" s="30">
        <f>COUNTIFS('AT. MEDICAS 2024'!$A$9:$A$874,"10/01/2025",'AT. MEDICAS 2024'!$I$9:$I$874,J23)</f>
        <v>0</v>
      </c>
      <c r="M23" s="30">
        <f>COUNTIFS('AT. MEDICAS 2024'!$A$9:$A$874,"11/01/2025",'AT. MEDICAS 2024'!$I$9:$I$874,K23)</f>
        <v>0</v>
      </c>
      <c r="N23" s="30">
        <f>COUNTIFS('AT. MEDICAS 2024'!$A$9:$A$874,"12/01/2025",'AT. MEDICAS 2024'!$I$9:$I$874,L23)</f>
        <v>0</v>
      </c>
      <c r="O23" s="30">
        <f>COUNTIFS('AT. MEDICAS 2024'!$A$9:$A$874,"13/01/2025",'AT. MEDICAS 2024'!$I$9:$I$874,M23)</f>
        <v>0</v>
      </c>
      <c r="P23" s="30">
        <f>COUNTIFS('AT. MEDICAS 2024'!$A$9:$A$874,"14/01/2025",'AT. MEDICAS 2024'!$I$9:$I$874,N23)</f>
        <v>0</v>
      </c>
      <c r="Q23" s="30">
        <f>COUNTIFS('AT. MEDICAS 2024'!$A$9:$A$874,"15/01/2025",'AT. MEDICAS 2024'!$I$9:$I$874,O23)</f>
        <v>0</v>
      </c>
      <c r="R23" s="30">
        <f>COUNTIFS('AT. MEDICAS 2024'!$A$9:$A$874,"16/01/2025",'AT. MEDICAS 2024'!$I$9:$I$874,P23)</f>
        <v>0</v>
      </c>
      <c r="S23" s="30">
        <f>COUNTIFS('AT. MEDICAS 2024'!$A$9:$A$874,"17/01/2025",'AT. MEDICAS 2024'!$I$9:$I$874,Q23)</f>
        <v>0</v>
      </c>
      <c r="T23" s="30">
        <f>COUNTIFS('AT. MEDICAS 2024'!$A$9:$A$874,"18/01/2025",'AT. MEDICAS 2024'!$I$9:$I$874,R23)</f>
        <v>0</v>
      </c>
      <c r="U23" s="30">
        <f>COUNTIFS('AT. MEDICAS 2024'!$A$9:$A$874,"19/01/2025",'AT. MEDICAS 2024'!$I$9:$I$874,S23)</f>
        <v>0</v>
      </c>
      <c r="V23" s="30">
        <f>COUNTIFS('AT. MEDICAS 2024'!$A$9:$A$874,"20/01/2025",'AT. MEDICAS 2024'!$I$9:$I$874,T23)</f>
        <v>0</v>
      </c>
      <c r="W23" s="30">
        <f>COUNTIFS('AT. MEDICAS 2024'!$A$9:$A$874,"21/01/2025",'AT. MEDICAS 2024'!$I$9:$I$874,U23)</f>
        <v>0</v>
      </c>
      <c r="X23" s="30">
        <f>COUNTIFS('AT. MEDICAS 2024'!$A$9:$A$874,"22/01/2025",'AT. MEDICAS 2024'!$I$9:$I$874,V23)</f>
        <v>0</v>
      </c>
      <c r="Y23" s="30">
        <f>COUNTIFS('AT. MEDICAS 2024'!$A$9:$A$874,"23/01/2025",'AT. MEDICAS 2024'!$I$9:$I$874,W23)</f>
        <v>0</v>
      </c>
      <c r="Z23" s="30">
        <f>COUNTIFS('AT. MEDICAS 2024'!$A$9:$A$874,"24/01/2025",'AT. MEDICAS 2024'!$I$9:$I$874,X23)</f>
        <v>0</v>
      </c>
      <c r="AA23" s="30">
        <f>COUNTIFS('AT. MEDICAS 2024'!$A$9:$A$874,"25/01/2025",'AT. MEDICAS 2024'!$I$9:$I$874,Y23)</f>
        <v>0</v>
      </c>
      <c r="AB23" s="30">
        <f>COUNTIFS('AT. MEDICAS 2024'!$A$9:$A$874,"26/01/2025",'AT. MEDICAS 2024'!$I$9:$I$874,Z23)</f>
        <v>0</v>
      </c>
      <c r="AC23" s="30">
        <f>COUNTIFS('AT. MEDICAS 2024'!$A$9:$A$874,"27/01/2025",'AT. MEDICAS 2024'!$I$9:$I$874,AA23)</f>
        <v>0</v>
      </c>
      <c r="AD23" s="30">
        <f>COUNTIFS('AT. MEDICAS 2024'!$A$9:$A$874,"28/01/2025",'AT. MEDICAS 2024'!$I$9:$I$874,AB23)</f>
        <v>0</v>
      </c>
      <c r="AE23" s="30">
        <f>COUNTIFS('AT. MEDICAS 2024'!$A$9:$A$874,"29/01/2025",'AT. MEDICAS 2024'!$I$9:$I$874,AC23)</f>
        <v>0</v>
      </c>
      <c r="AF23" s="30">
        <f>COUNTIFS('AT. MEDICAS 2024'!$A$9:$A$874,"30/01/2025",'AT. MEDICAS 2024'!$I$9:$I$874,AD23)</f>
        <v>0</v>
      </c>
      <c r="AG23" s="30">
        <f>COUNTIFS('AT. MEDICAS 2024'!$A$9:$A$874,"31/01/2025",'AT. MEDICAS 2024'!$I$9:$I$874,AE23)</f>
        <v>0</v>
      </c>
      <c r="AH23" s="55">
        <f t="shared" si="0"/>
        <v>0</v>
      </c>
      <c r="AJ23" s="54" t="s">
        <v>57</v>
      </c>
      <c r="AL23" s="30">
        <f t="shared" si="2"/>
        <v>0</v>
      </c>
      <c r="AM23" s="62" t="e">
        <f t="shared" si="3"/>
        <v>#DIV/0!</v>
      </c>
      <c r="AN23" s="30">
        <f t="shared" si="4"/>
        <v>0</v>
      </c>
      <c r="AO23" s="62" t="e">
        <f t="shared" si="5"/>
        <v>#DIV/0!</v>
      </c>
      <c r="AP23" s="30">
        <f t="shared" si="6"/>
        <v>0</v>
      </c>
      <c r="AQ23" s="62" t="e">
        <f t="shared" si="7"/>
        <v>#DIV/0!</v>
      </c>
      <c r="AR23" s="30">
        <f t="shared" si="8"/>
        <v>0</v>
      </c>
      <c r="AS23" s="62" t="e">
        <f t="shared" si="9"/>
        <v>#DIV/0!</v>
      </c>
      <c r="AU23" s="30">
        <f t="shared" si="10"/>
        <v>0</v>
      </c>
      <c r="AV23" s="62" t="e">
        <f t="shared" si="1"/>
        <v>#DIV/0!</v>
      </c>
    </row>
    <row r="24" spans="1:48" ht="15" customHeight="1" thickBot="1" x14ac:dyDescent="0.3">
      <c r="A24" s="41">
        <v>14</v>
      </c>
      <c r="B24" s="54" t="s">
        <v>66</v>
      </c>
      <c r="C24" s="30">
        <f>COUNTIFS('AT. MEDICAS 2024'!$A$9:$A$874,"01/01/2025",'AT. MEDICAS 2024'!$I$9:$I$874,B24)</f>
        <v>0</v>
      </c>
      <c r="D24" s="30">
        <f>COUNTIFS('AT. MEDICAS 2024'!$A$9:$A$874,"02/01/2025",'AT. MEDICAS 2024'!$I$9:$I$874,B24)</f>
        <v>0</v>
      </c>
      <c r="E24" s="30">
        <f>COUNTIFS('AT. MEDICAS 2024'!$A$9:$A$874,"03/01/2025",'AT. MEDICAS 2024'!$I$9:$I$874,C24)</f>
        <v>0</v>
      </c>
      <c r="F24" s="30">
        <f>COUNTIFS('AT. MEDICAS 2024'!$A$9:$A$874,"04/01/2025",'AT. MEDICAS 2024'!$I$9:$I$874,D24)</f>
        <v>0</v>
      </c>
      <c r="G24" s="30">
        <f>COUNTIFS('AT. MEDICAS 2024'!$A$9:$A$874,"05/01/2025",'AT. MEDICAS 2024'!$I$9:$I$874,E24)</f>
        <v>0</v>
      </c>
      <c r="H24" s="30">
        <f>COUNTIFS('AT. MEDICAS 2024'!$A$9:$A$874,"06/01/2025",'AT. MEDICAS 2024'!$I$9:$I$874,F24)</f>
        <v>0</v>
      </c>
      <c r="I24" s="30">
        <f>COUNTIFS('AT. MEDICAS 2024'!$A$9:$A$874,"07/01/2025",'AT. MEDICAS 2024'!$I$9:$I$874,G24)</f>
        <v>0</v>
      </c>
      <c r="J24" s="30">
        <f>COUNTIFS('AT. MEDICAS 2024'!$A$9:$A$874,"08/01/2025",'AT. MEDICAS 2024'!$I$9:$I$874,H24)</f>
        <v>0</v>
      </c>
      <c r="K24" s="30">
        <f>COUNTIFS('AT. MEDICAS 2024'!$A$9:$A$874,"09/01/2025",'AT. MEDICAS 2024'!$I$9:$I$874,I24)</f>
        <v>0</v>
      </c>
      <c r="L24" s="30">
        <f>COUNTIFS('AT. MEDICAS 2024'!$A$9:$A$874,"10/01/2025",'AT. MEDICAS 2024'!$I$9:$I$874,J24)</f>
        <v>0</v>
      </c>
      <c r="M24" s="30">
        <f>COUNTIFS('AT. MEDICAS 2024'!$A$9:$A$874,"11/01/2025",'AT. MEDICAS 2024'!$I$9:$I$874,K24)</f>
        <v>0</v>
      </c>
      <c r="N24" s="30">
        <f>COUNTIFS('AT. MEDICAS 2024'!$A$9:$A$874,"12/01/2025",'AT. MEDICAS 2024'!$I$9:$I$874,L24)</f>
        <v>0</v>
      </c>
      <c r="O24" s="30">
        <f>COUNTIFS('AT. MEDICAS 2024'!$A$9:$A$874,"13/01/2025",'AT. MEDICAS 2024'!$I$9:$I$874,M24)</f>
        <v>0</v>
      </c>
      <c r="P24" s="30">
        <f>COUNTIFS('AT. MEDICAS 2024'!$A$9:$A$874,"14/01/2025",'AT. MEDICAS 2024'!$I$9:$I$874,N24)</f>
        <v>0</v>
      </c>
      <c r="Q24" s="30">
        <f>COUNTIFS('AT. MEDICAS 2024'!$A$9:$A$874,"15/01/2025",'AT. MEDICAS 2024'!$I$9:$I$874,O24)</f>
        <v>0</v>
      </c>
      <c r="R24" s="30">
        <f>COUNTIFS('AT. MEDICAS 2024'!$A$9:$A$874,"16/01/2025",'AT. MEDICAS 2024'!$I$9:$I$874,P24)</f>
        <v>0</v>
      </c>
      <c r="S24" s="30">
        <f>COUNTIFS('AT. MEDICAS 2024'!$A$9:$A$874,"17/01/2025",'AT. MEDICAS 2024'!$I$9:$I$874,Q24)</f>
        <v>0</v>
      </c>
      <c r="T24" s="30">
        <f>COUNTIFS('AT. MEDICAS 2024'!$A$9:$A$874,"18/01/2025",'AT. MEDICAS 2024'!$I$9:$I$874,R24)</f>
        <v>0</v>
      </c>
      <c r="U24" s="30">
        <f>COUNTIFS('AT. MEDICAS 2024'!$A$9:$A$874,"19/01/2025",'AT. MEDICAS 2024'!$I$9:$I$874,S24)</f>
        <v>0</v>
      </c>
      <c r="V24" s="30">
        <f>COUNTIFS('AT. MEDICAS 2024'!$A$9:$A$874,"20/01/2025",'AT. MEDICAS 2024'!$I$9:$I$874,T24)</f>
        <v>0</v>
      </c>
      <c r="W24" s="30">
        <f>COUNTIFS('AT. MEDICAS 2024'!$A$9:$A$874,"21/01/2025",'AT. MEDICAS 2024'!$I$9:$I$874,U24)</f>
        <v>0</v>
      </c>
      <c r="X24" s="30">
        <f>COUNTIFS('AT. MEDICAS 2024'!$A$9:$A$874,"22/01/2025",'AT. MEDICAS 2024'!$I$9:$I$874,V24)</f>
        <v>0</v>
      </c>
      <c r="Y24" s="30">
        <f>COUNTIFS('AT. MEDICAS 2024'!$A$9:$A$874,"23/01/2025",'AT. MEDICAS 2024'!$I$9:$I$874,W24)</f>
        <v>0</v>
      </c>
      <c r="Z24" s="30">
        <f>COUNTIFS('AT. MEDICAS 2024'!$A$9:$A$874,"24/01/2025",'AT. MEDICAS 2024'!$I$9:$I$874,X24)</f>
        <v>0</v>
      </c>
      <c r="AA24" s="30">
        <f>COUNTIFS('AT. MEDICAS 2024'!$A$9:$A$874,"25/01/2025",'AT. MEDICAS 2024'!$I$9:$I$874,Y24)</f>
        <v>0</v>
      </c>
      <c r="AB24" s="30">
        <f>COUNTIFS('AT. MEDICAS 2024'!$A$9:$A$874,"26/01/2025",'AT. MEDICAS 2024'!$I$9:$I$874,Z24)</f>
        <v>0</v>
      </c>
      <c r="AC24" s="30">
        <f>COUNTIFS('AT. MEDICAS 2024'!$A$9:$A$874,"27/01/2025",'AT. MEDICAS 2024'!$I$9:$I$874,AA24)</f>
        <v>0</v>
      </c>
      <c r="AD24" s="30">
        <f>COUNTIFS('AT. MEDICAS 2024'!$A$9:$A$874,"28/01/2025",'AT. MEDICAS 2024'!$I$9:$I$874,AB24)</f>
        <v>0</v>
      </c>
      <c r="AE24" s="30">
        <f>COUNTIFS('AT. MEDICAS 2024'!$A$9:$A$874,"29/01/2025",'AT. MEDICAS 2024'!$I$9:$I$874,AC24)</f>
        <v>0</v>
      </c>
      <c r="AF24" s="30">
        <f>COUNTIFS('AT. MEDICAS 2024'!$A$9:$A$874,"30/01/2025",'AT. MEDICAS 2024'!$I$9:$I$874,AD24)</f>
        <v>0</v>
      </c>
      <c r="AG24" s="30">
        <f>COUNTIFS('AT. MEDICAS 2024'!$A$9:$A$874,"31/01/2025",'AT. MEDICAS 2024'!$I$9:$I$874,AE24)</f>
        <v>0</v>
      </c>
      <c r="AH24" s="55">
        <f t="shared" si="0"/>
        <v>0</v>
      </c>
      <c r="AJ24" s="54" t="s">
        <v>66</v>
      </c>
      <c r="AL24" s="30">
        <f t="shared" si="2"/>
        <v>0</v>
      </c>
      <c r="AM24" s="62" t="e">
        <f t="shared" si="3"/>
        <v>#DIV/0!</v>
      </c>
      <c r="AN24" s="30">
        <f t="shared" si="4"/>
        <v>0</v>
      </c>
      <c r="AO24" s="62" t="e">
        <f t="shared" si="5"/>
        <v>#DIV/0!</v>
      </c>
      <c r="AP24" s="30">
        <f t="shared" si="6"/>
        <v>0</v>
      </c>
      <c r="AQ24" s="62" t="e">
        <f t="shared" si="7"/>
        <v>#DIV/0!</v>
      </c>
      <c r="AR24" s="30">
        <f t="shared" si="8"/>
        <v>0</v>
      </c>
      <c r="AS24" s="62" t="e">
        <f t="shared" si="9"/>
        <v>#DIV/0!</v>
      </c>
      <c r="AU24" s="30">
        <f t="shared" si="10"/>
        <v>0</v>
      </c>
      <c r="AV24" s="62" t="e">
        <f t="shared" si="1"/>
        <v>#DIV/0!</v>
      </c>
    </row>
    <row r="25" spans="1:48" ht="15" customHeight="1" thickBot="1" x14ac:dyDescent="0.3">
      <c r="A25" s="41">
        <v>15</v>
      </c>
      <c r="B25" s="54" t="s">
        <v>189</v>
      </c>
      <c r="C25" s="30">
        <f>COUNTIFS('AT. MEDICAS 2024'!$A$9:$A$874,"01/01/2025",'AT. MEDICAS 2024'!$I$9:$I$874,B25)</f>
        <v>0</v>
      </c>
      <c r="D25" s="30">
        <f>COUNTIFS('AT. MEDICAS 2024'!$A$9:$A$874,"02/01/2025",'AT. MEDICAS 2024'!$I$9:$I$874,B25)</f>
        <v>0</v>
      </c>
      <c r="E25" s="30">
        <f>COUNTIFS('AT. MEDICAS 2024'!$A$9:$A$874,"03/01/2025",'AT. MEDICAS 2024'!$I$9:$I$874,C25)</f>
        <v>0</v>
      </c>
      <c r="F25" s="30">
        <f>COUNTIFS('AT. MEDICAS 2024'!$A$9:$A$874,"04/01/2025",'AT. MEDICAS 2024'!$I$9:$I$874,D25)</f>
        <v>0</v>
      </c>
      <c r="G25" s="30">
        <f>COUNTIFS('AT. MEDICAS 2024'!$A$9:$A$874,"05/01/2025",'AT. MEDICAS 2024'!$I$9:$I$874,E25)</f>
        <v>0</v>
      </c>
      <c r="H25" s="30">
        <f>COUNTIFS('AT. MEDICAS 2024'!$A$9:$A$874,"06/01/2025",'AT. MEDICAS 2024'!$I$9:$I$874,F25)</f>
        <v>0</v>
      </c>
      <c r="I25" s="30">
        <f>COUNTIFS('AT. MEDICAS 2024'!$A$9:$A$874,"07/01/2025",'AT. MEDICAS 2024'!$I$9:$I$874,G25)</f>
        <v>0</v>
      </c>
      <c r="J25" s="30">
        <f>COUNTIFS('AT. MEDICAS 2024'!$A$9:$A$874,"08/01/2025",'AT. MEDICAS 2024'!$I$9:$I$874,H25)</f>
        <v>0</v>
      </c>
      <c r="K25" s="30">
        <f>COUNTIFS('AT. MEDICAS 2024'!$A$9:$A$874,"09/01/2025",'AT. MEDICAS 2024'!$I$9:$I$874,I25)</f>
        <v>0</v>
      </c>
      <c r="L25" s="30">
        <f>COUNTIFS('AT. MEDICAS 2024'!$A$9:$A$874,"10/01/2025",'AT. MEDICAS 2024'!$I$9:$I$874,J25)</f>
        <v>0</v>
      </c>
      <c r="M25" s="30">
        <f>COUNTIFS('AT. MEDICAS 2024'!$A$9:$A$874,"11/01/2025",'AT. MEDICAS 2024'!$I$9:$I$874,K25)</f>
        <v>0</v>
      </c>
      <c r="N25" s="30">
        <f>COUNTIFS('AT. MEDICAS 2024'!$A$9:$A$874,"12/01/2025",'AT. MEDICAS 2024'!$I$9:$I$874,L25)</f>
        <v>0</v>
      </c>
      <c r="O25" s="30">
        <f>COUNTIFS('AT. MEDICAS 2024'!$A$9:$A$874,"13/01/2025",'AT. MEDICAS 2024'!$I$9:$I$874,M25)</f>
        <v>0</v>
      </c>
      <c r="P25" s="30">
        <f>COUNTIFS('AT. MEDICAS 2024'!$A$9:$A$874,"14/01/2025",'AT. MEDICAS 2024'!$I$9:$I$874,N25)</f>
        <v>0</v>
      </c>
      <c r="Q25" s="30">
        <f>COUNTIFS('AT. MEDICAS 2024'!$A$9:$A$874,"15/01/2025",'AT. MEDICAS 2024'!$I$9:$I$874,O25)</f>
        <v>0</v>
      </c>
      <c r="R25" s="30">
        <f>COUNTIFS('AT. MEDICAS 2024'!$A$9:$A$874,"16/01/2025",'AT. MEDICAS 2024'!$I$9:$I$874,P25)</f>
        <v>0</v>
      </c>
      <c r="S25" s="30">
        <f>COUNTIFS('AT. MEDICAS 2024'!$A$9:$A$874,"17/01/2025",'AT. MEDICAS 2024'!$I$9:$I$874,Q25)</f>
        <v>0</v>
      </c>
      <c r="T25" s="30">
        <f>COUNTIFS('AT. MEDICAS 2024'!$A$9:$A$874,"18/01/2025",'AT. MEDICAS 2024'!$I$9:$I$874,R25)</f>
        <v>0</v>
      </c>
      <c r="U25" s="30">
        <f>COUNTIFS('AT. MEDICAS 2024'!$A$9:$A$874,"19/01/2025",'AT. MEDICAS 2024'!$I$9:$I$874,S25)</f>
        <v>0</v>
      </c>
      <c r="V25" s="30">
        <f>COUNTIFS('AT. MEDICAS 2024'!$A$9:$A$874,"20/01/2025",'AT. MEDICAS 2024'!$I$9:$I$874,T25)</f>
        <v>0</v>
      </c>
      <c r="W25" s="30">
        <f>COUNTIFS('AT. MEDICAS 2024'!$A$9:$A$874,"21/01/2025",'AT. MEDICAS 2024'!$I$9:$I$874,U25)</f>
        <v>0</v>
      </c>
      <c r="X25" s="30">
        <f>COUNTIFS('AT. MEDICAS 2024'!$A$9:$A$874,"22/01/2025",'AT. MEDICAS 2024'!$I$9:$I$874,V25)</f>
        <v>0</v>
      </c>
      <c r="Y25" s="30">
        <f>COUNTIFS('AT. MEDICAS 2024'!$A$9:$A$874,"23/01/2025",'AT. MEDICAS 2024'!$I$9:$I$874,W25)</f>
        <v>0</v>
      </c>
      <c r="Z25" s="30">
        <f>COUNTIFS('AT. MEDICAS 2024'!$A$9:$A$874,"24/01/2025",'AT. MEDICAS 2024'!$I$9:$I$874,X25)</f>
        <v>0</v>
      </c>
      <c r="AA25" s="30">
        <f>COUNTIFS('AT. MEDICAS 2024'!$A$9:$A$874,"25/01/2025",'AT. MEDICAS 2024'!$I$9:$I$874,Y25)</f>
        <v>0</v>
      </c>
      <c r="AB25" s="30">
        <f>COUNTIFS('AT. MEDICAS 2024'!$A$9:$A$874,"26/01/2025",'AT. MEDICAS 2024'!$I$9:$I$874,Z25)</f>
        <v>0</v>
      </c>
      <c r="AC25" s="30">
        <f>COUNTIFS('AT. MEDICAS 2024'!$A$9:$A$874,"27/01/2025",'AT. MEDICAS 2024'!$I$9:$I$874,AA25)</f>
        <v>0</v>
      </c>
      <c r="AD25" s="30">
        <f>COUNTIFS('AT. MEDICAS 2024'!$A$9:$A$874,"28/01/2025",'AT. MEDICAS 2024'!$I$9:$I$874,AB25)</f>
        <v>0</v>
      </c>
      <c r="AE25" s="30">
        <f>COUNTIFS('AT. MEDICAS 2024'!$A$9:$A$874,"29/01/2025",'AT. MEDICAS 2024'!$I$9:$I$874,AC25)</f>
        <v>0</v>
      </c>
      <c r="AF25" s="30">
        <f>COUNTIFS('AT. MEDICAS 2024'!$A$9:$A$874,"30/01/2025",'AT. MEDICAS 2024'!$I$9:$I$874,AD25)</f>
        <v>0</v>
      </c>
      <c r="AG25" s="30">
        <f>COUNTIFS('AT. MEDICAS 2024'!$A$9:$A$874,"31/01/2025",'AT. MEDICAS 2024'!$I$9:$I$874,AE25)</f>
        <v>0</v>
      </c>
      <c r="AH25" s="55">
        <f t="shared" si="0"/>
        <v>0</v>
      </c>
      <c r="AJ25" s="54" t="s">
        <v>189</v>
      </c>
      <c r="AL25" s="30">
        <f t="shared" si="2"/>
        <v>0</v>
      </c>
      <c r="AM25" s="62" t="e">
        <f t="shared" si="3"/>
        <v>#DIV/0!</v>
      </c>
      <c r="AN25" s="30">
        <f t="shared" si="4"/>
        <v>0</v>
      </c>
      <c r="AO25" s="62" t="e">
        <f t="shared" si="5"/>
        <v>#DIV/0!</v>
      </c>
      <c r="AP25" s="30">
        <f t="shared" si="6"/>
        <v>0</v>
      </c>
      <c r="AQ25" s="62" t="e">
        <f t="shared" si="7"/>
        <v>#DIV/0!</v>
      </c>
      <c r="AR25" s="30">
        <f t="shared" si="8"/>
        <v>0</v>
      </c>
      <c r="AS25" s="62" t="e">
        <f t="shared" si="9"/>
        <v>#DIV/0!</v>
      </c>
      <c r="AU25" s="30">
        <f t="shared" si="10"/>
        <v>0</v>
      </c>
      <c r="AV25" s="62" t="e">
        <f t="shared" si="1"/>
        <v>#DIV/0!</v>
      </c>
    </row>
    <row r="26" spans="1:48" ht="15" customHeight="1" thickBot="1" x14ac:dyDescent="0.3">
      <c r="A26" s="41">
        <v>16</v>
      </c>
      <c r="B26" s="54" t="s">
        <v>14</v>
      </c>
      <c r="C26" s="30">
        <f>COUNTIFS('AT. MEDICAS 2024'!$A$9:$A$874,"01/01/2025",'AT. MEDICAS 2024'!$I$9:$I$874,B26)</f>
        <v>0</v>
      </c>
      <c r="D26" s="30">
        <f>COUNTIFS('AT. MEDICAS 2024'!$A$9:$A$874,"02/01/2025",'AT. MEDICAS 2024'!$I$9:$I$874,B26)</f>
        <v>0</v>
      </c>
      <c r="E26" s="30">
        <f>COUNTIFS('AT. MEDICAS 2024'!$A$9:$A$874,"03/01/2025",'AT. MEDICAS 2024'!$I$9:$I$874,C26)</f>
        <v>0</v>
      </c>
      <c r="F26" s="30">
        <f>COUNTIFS('AT. MEDICAS 2024'!$A$9:$A$874,"04/01/2025",'AT. MEDICAS 2024'!$I$9:$I$874,D26)</f>
        <v>0</v>
      </c>
      <c r="G26" s="30">
        <f>COUNTIFS('AT. MEDICAS 2024'!$A$9:$A$874,"05/01/2025",'AT. MEDICAS 2024'!$I$9:$I$874,E26)</f>
        <v>0</v>
      </c>
      <c r="H26" s="30">
        <f>COUNTIFS('AT. MEDICAS 2024'!$A$9:$A$874,"06/01/2025",'AT. MEDICAS 2024'!$I$9:$I$874,F26)</f>
        <v>0</v>
      </c>
      <c r="I26" s="30">
        <f>COUNTIFS('AT. MEDICAS 2024'!$A$9:$A$874,"07/01/2025",'AT. MEDICAS 2024'!$I$9:$I$874,G26)</f>
        <v>0</v>
      </c>
      <c r="J26" s="30">
        <f>COUNTIFS('AT. MEDICAS 2024'!$A$9:$A$874,"08/01/2025",'AT. MEDICAS 2024'!$I$9:$I$874,H26)</f>
        <v>0</v>
      </c>
      <c r="K26" s="30">
        <f>COUNTIFS('AT. MEDICAS 2024'!$A$9:$A$874,"09/01/2025",'AT. MEDICAS 2024'!$I$9:$I$874,I26)</f>
        <v>0</v>
      </c>
      <c r="L26" s="30">
        <f>COUNTIFS('AT. MEDICAS 2024'!$A$9:$A$874,"10/01/2025",'AT. MEDICAS 2024'!$I$9:$I$874,J26)</f>
        <v>0</v>
      </c>
      <c r="M26" s="30">
        <f>COUNTIFS('AT. MEDICAS 2024'!$A$9:$A$874,"11/01/2025",'AT. MEDICAS 2024'!$I$9:$I$874,K26)</f>
        <v>0</v>
      </c>
      <c r="N26" s="30">
        <f>COUNTIFS('AT. MEDICAS 2024'!$A$9:$A$874,"12/01/2025",'AT. MEDICAS 2024'!$I$9:$I$874,L26)</f>
        <v>0</v>
      </c>
      <c r="O26" s="30">
        <f>COUNTIFS('AT. MEDICAS 2024'!$A$9:$A$874,"13/01/2025",'AT. MEDICAS 2024'!$I$9:$I$874,M26)</f>
        <v>0</v>
      </c>
      <c r="P26" s="30">
        <f>COUNTIFS('AT. MEDICAS 2024'!$A$9:$A$874,"14/01/2025",'AT. MEDICAS 2024'!$I$9:$I$874,N26)</f>
        <v>0</v>
      </c>
      <c r="Q26" s="30">
        <f>COUNTIFS('AT. MEDICAS 2024'!$A$9:$A$874,"15/01/2025",'AT. MEDICAS 2024'!$I$9:$I$874,O26)</f>
        <v>0</v>
      </c>
      <c r="R26" s="30">
        <f>COUNTIFS('AT. MEDICAS 2024'!$A$9:$A$874,"16/01/2025",'AT. MEDICAS 2024'!$I$9:$I$874,P26)</f>
        <v>0</v>
      </c>
      <c r="S26" s="30">
        <f>COUNTIFS('AT. MEDICAS 2024'!$A$9:$A$874,"17/01/2025",'AT. MEDICAS 2024'!$I$9:$I$874,Q26)</f>
        <v>0</v>
      </c>
      <c r="T26" s="30">
        <f>COUNTIFS('AT. MEDICAS 2024'!$A$9:$A$874,"18/01/2025",'AT. MEDICAS 2024'!$I$9:$I$874,R26)</f>
        <v>0</v>
      </c>
      <c r="U26" s="30">
        <f>COUNTIFS('AT. MEDICAS 2024'!$A$9:$A$874,"19/01/2025",'AT. MEDICAS 2024'!$I$9:$I$874,S26)</f>
        <v>0</v>
      </c>
      <c r="V26" s="30">
        <f>COUNTIFS('AT. MEDICAS 2024'!$A$9:$A$874,"20/01/2025",'AT. MEDICAS 2024'!$I$9:$I$874,T26)</f>
        <v>0</v>
      </c>
      <c r="W26" s="30">
        <f>COUNTIFS('AT. MEDICAS 2024'!$A$9:$A$874,"21/01/2025",'AT. MEDICAS 2024'!$I$9:$I$874,U26)</f>
        <v>0</v>
      </c>
      <c r="X26" s="30">
        <f>COUNTIFS('AT. MEDICAS 2024'!$A$9:$A$874,"22/01/2025",'AT. MEDICAS 2024'!$I$9:$I$874,V26)</f>
        <v>0</v>
      </c>
      <c r="Y26" s="30">
        <f>COUNTIFS('AT. MEDICAS 2024'!$A$9:$A$874,"23/01/2025",'AT. MEDICAS 2024'!$I$9:$I$874,W26)</f>
        <v>0</v>
      </c>
      <c r="Z26" s="30">
        <f>COUNTIFS('AT. MEDICAS 2024'!$A$9:$A$874,"24/01/2025",'AT. MEDICAS 2024'!$I$9:$I$874,X26)</f>
        <v>0</v>
      </c>
      <c r="AA26" s="30">
        <f>COUNTIFS('AT. MEDICAS 2024'!$A$9:$A$874,"25/01/2025",'AT. MEDICAS 2024'!$I$9:$I$874,Y26)</f>
        <v>0</v>
      </c>
      <c r="AB26" s="30">
        <f>COUNTIFS('AT. MEDICAS 2024'!$A$9:$A$874,"26/01/2025",'AT. MEDICAS 2024'!$I$9:$I$874,Z26)</f>
        <v>0</v>
      </c>
      <c r="AC26" s="30">
        <f>COUNTIFS('AT. MEDICAS 2024'!$A$9:$A$874,"27/01/2025",'AT. MEDICAS 2024'!$I$9:$I$874,AA26)</f>
        <v>0</v>
      </c>
      <c r="AD26" s="30">
        <f>COUNTIFS('AT. MEDICAS 2024'!$A$9:$A$874,"28/01/2025",'AT. MEDICAS 2024'!$I$9:$I$874,AB26)</f>
        <v>0</v>
      </c>
      <c r="AE26" s="30">
        <f>COUNTIFS('AT. MEDICAS 2024'!$A$9:$A$874,"29/01/2025",'AT. MEDICAS 2024'!$I$9:$I$874,AC26)</f>
        <v>0</v>
      </c>
      <c r="AF26" s="30">
        <f>COUNTIFS('AT. MEDICAS 2024'!$A$9:$A$874,"30/01/2025",'AT. MEDICAS 2024'!$I$9:$I$874,AD26)</f>
        <v>0</v>
      </c>
      <c r="AG26" s="30">
        <f>COUNTIFS('AT. MEDICAS 2024'!$A$9:$A$874,"31/01/2025",'AT. MEDICAS 2024'!$I$9:$I$874,AE26)</f>
        <v>0</v>
      </c>
      <c r="AH26" s="55">
        <f t="shared" si="0"/>
        <v>0</v>
      </c>
      <c r="AJ26" s="54" t="s">
        <v>14</v>
      </c>
      <c r="AL26" s="30">
        <f t="shared" si="2"/>
        <v>0</v>
      </c>
      <c r="AM26" s="62" t="e">
        <f t="shared" si="3"/>
        <v>#DIV/0!</v>
      </c>
      <c r="AN26" s="30">
        <f t="shared" si="4"/>
        <v>0</v>
      </c>
      <c r="AO26" s="62" t="e">
        <f t="shared" si="5"/>
        <v>#DIV/0!</v>
      </c>
      <c r="AP26" s="30">
        <f t="shared" si="6"/>
        <v>0</v>
      </c>
      <c r="AQ26" s="62" t="e">
        <f t="shared" si="7"/>
        <v>#DIV/0!</v>
      </c>
      <c r="AR26" s="30">
        <f t="shared" si="8"/>
        <v>0</v>
      </c>
      <c r="AS26" s="62" t="e">
        <f t="shared" si="9"/>
        <v>#DIV/0!</v>
      </c>
      <c r="AU26" s="30">
        <f t="shared" si="10"/>
        <v>0</v>
      </c>
      <c r="AV26" s="62" t="e">
        <f t="shared" si="1"/>
        <v>#DIV/0!</v>
      </c>
    </row>
    <row r="27" spans="1:48" ht="15" customHeight="1" thickBot="1" x14ac:dyDescent="0.3">
      <c r="A27" s="41">
        <v>17</v>
      </c>
      <c r="B27" s="54" t="s">
        <v>72</v>
      </c>
      <c r="C27" s="30">
        <f>COUNTIFS('AT. MEDICAS 2024'!$A$9:$A$874,"01/01/2025",'AT. MEDICAS 2024'!$I$9:$I$874,B27)</f>
        <v>0</v>
      </c>
      <c r="D27" s="30">
        <f>COUNTIFS('AT. MEDICAS 2024'!$A$9:$A$874,"02/01/2025",'AT. MEDICAS 2024'!$I$9:$I$874,B27)</f>
        <v>0</v>
      </c>
      <c r="E27" s="30">
        <f>COUNTIFS('AT. MEDICAS 2024'!$A$9:$A$874,"03/01/2025",'AT. MEDICAS 2024'!$I$9:$I$874,C27)</f>
        <v>0</v>
      </c>
      <c r="F27" s="30">
        <f>COUNTIFS('AT. MEDICAS 2024'!$A$9:$A$874,"04/01/2025",'AT. MEDICAS 2024'!$I$9:$I$874,D27)</f>
        <v>0</v>
      </c>
      <c r="G27" s="30">
        <f>COUNTIFS('AT. MEDICAS 2024'!$A$9:$A$874,"05/01/2025",'AT. MEDICAS 2024'!$I$9:$I$874,E27)</f>
        <v>0</v>
      </c>
      <c r="H27" s="30">
        <f>COUNTIFS('AT. MEDICAS 2024'!$A$9:$A$874,"06/01/2025",'AT. MEDICAS 2024'!$I$9:$I$874,F27)</f>
        <v>0</v>
      </c>
      <c r="I27" s="30">
        <f>COUNTIFS('AT. MEDICAS 2024'!$A$9:$A$874,"07/01/2025",'AT. MEDICAS 2024'!$I$9:$I$874,G27)</f>
        <v>0</v>
      </c>
      <c r="J27" s="30">
        <f>COUNTIFS('AT. MEDICAS 2024'!$A$9:$A$874,"08/01/2025",'AT. MEDICAS 2024'!$I$9:$I$874,H27)</f>
        <v>0</v>
      </c>
      <c r="K27" s="30">
        <f>COUNTIFS('AT. MEDICAS 2024'!$A$9:$A$874,"09/01/2025",'AT. MEDICAS 2024'!$I$9:$I$874,I27)</f>
        <v>0</v>
      </c>
      <c r="L27" s="30">
        <f>COUNTIFS('AT. MEDICAS 2024'!$A$9:$A$874,"10/01/2025",'AT. MEDICAS 2024'!$I$9:$I$874,J27)</f>
        <v>0</v>
      </c>
      <c r="M27" s="30">
        <f>COUNTIFS('AT. MEDICAS 2024'!$A$9:$A$874,"11/01/2025",'AT. MEDICAS 2024'!$I$9:$I$874,K27)</f>
        <v>0</v>
      </c>
      <c r="N27" s="30">
        <f>COUNTIFS('AT. MEDICAS 2024'!$A$9:$A$874,"12/01/2025",'AT. MEDICAS 2024'!$I$9:$I$874,L27)</f>
        <v>0</v>
      </c>
      <c r="O27" s="30">
        <f>COUNTIFS('AT. MEDICAS 2024'!$A$9:$A$874,"13/01/2025",'AT. MEDICAS 2024'!$I$9:$I$874,M27)</f>
        <v>0</v>
      </c>
      <c r="P27" s="30">
        <f>COUNTIFS('AT. MEDICAS 2024'!$A$9:$A$874,"14/01/2025",'AT. MEDICAS 2024'!$I$9:$I$874,N27)</f>
        <v>0</v>
      </c>
      <c r="Q27" s="30">
        <f>COUNTIFS('AT. MEDICAS 2024'!$A$9:$A$874,"15/01/2025",'AT. MEDICAS 2024'!$I$9:$I$874,O27)</f>
        <v>0</v>
      </c>
      <c r="R27" s="30">
        <f>COUNTIFS('AT. MEDICAS 2024'!$A$9:$A$874,"16/01/2025",'AT. MEDICAS 2024'!$I$9:$I$874,P27)</f>
        <v>0</v>
      </c>
      <c r="S27" s="30">
        <f>COUNTIFS('AT. MEDICAS 2024'!$A$9:$A$874,"17/01/2025",'AT. MEDICAS 2024'!$I$9:$I$874,Q27)</f>
        <v>0</v>
      </c>
      <c r="T27" s="30">
        <f>COUNTIFS('AT. MEDICAS 2024'!$A$9:$A$874,"18/01/2025",'AT. MEDICAS 2024'!$I$9:$I$874,R27)</f>
        <v>0</v>
      </c>
      <c r="U27" s="30">
        <f>COUNTIFS('AT. MEDICAS 2024'!$A$9:$A$874,"19/01/2025",'AT. MEDICAS 2024'!$I$9:$I$874,S27)</f>
        <v>0</v>
      </c>
      <c r="V27" s="30">
        <f>COUNTIFS('AT. MEDICAS 2024'!$A$9:$A$874,"20/01/2025",'AT. MEDICAS 2024'!$I$9:$I$874,T27)</f>
        <v>0</v>
      </c>
      <c r="W27" s="30">
        <f>COUNTIFS('AT. MEDICAS 2024'!$A$9:$A$874,"21/01/2025",'AT. MEDICAS 2024'!$I$9:$I$874,U27)</f>
        <v>0</v>
      </c>
      <c r="X27" s="30">
        <f>COUNTIFS('AT. MEDICAS 2024'!$A$9:$A$874,"22/01/2025",'AT. MEDICAS 2024'!$I$9:$I$874,V27)</f>
        <v>0</v>
      </c>
      <c r="Y27" s="30">
        <f>COUNTIFS('AT. MEDICAS 2024'!$A$9:$A$874,"23/01/2025",'AT. MEDICAS 2024'!$I$9:$I$874,W27)</f>
        <v>0</v>
      </c>
      <c r="Z27" s="30">
        <f>COUNTIFS('AT. MEDICAS 2024'!$A$9:$A$874,"24/01/2025",'AT. MEDICAS 2024'!$I$9:$I$874,X27)</f>
        <v>0</v>
      </c>
      <c r="AA27" s="30">
        <f>COUNTIFS('AT. MEDICAS 2024'!$A$9:$A$874,"25/01/2025",'AT. MEDICAS 2024'!$I$9:$I$874,Y27)</f>
        <v>0</v>
      </c>
      <c r="AB27" s="30">
        <f>COUNTIFS('AT. MEDICAS 2024'!$A$9:$A$874,"26/01/2025",'AT. MEDICAS 2024'!$I$9:$I$874,Z27)</f>
        <v>0</v>
      </c>
      <c r="AC27" s="30">
        <f>COUNTIFS('AT. MEDICAS 2024'!$A$9:$A$874,"27/01/2025",'AT. MEDICAS 2024'!$I$9:$I$874,AA27)</f>
        <v>0</v>
      </c>
      <c r="AD27" s="30">
        <f>COUNTIFS('AT. MEDICAS 2024'!$A$9:$A$874,"28/01/2025",'AT. MEDICAS 2024'!$I$9:$I$874,AB27)</f>
        <v>0</v>
      </c>
      <c r="AE27" s="30">
        <f>COUNTIFS('AT. MEDICAS 2024'!$A$9:$A$874,"29/01/2025",'AT. MEDICAS 2024'!$I$9:$I$874,AC27)</f>
        <v>0</v>
      </c>
      <c r="AF27" s="30">
        <f>COUNTIFS('AT. MEDICAS 2024'!$A$9:$A$874,"30/01/2025",'AT. MEDICAS 2024'!$I$9:$I$874,AD27)</f>
        <v>0</v>
      </c>
      <c r="AG27" s="30">
        <f>COUNTIFS('AT. MEDICAS 2024'!$A$9:$A$874,"31/01/2025",'AT. MEDICAS 2024'!$I$9:$I$874,AE27)</f>
        <v>0</v>
      </c>
      <c r="AH27" s="55">
        <f t="shared" si="0"/>
        <v>0</v>
      </c>
      <c r="AJ27" s="54" t="s">
        <v>72</v>
      </c>
      <c r="AL27" s="30">
        <f t="shared" si="2"/>
        <v>0</v>
      </c>
      <c r="AM27" s="62" t="e">
        <f t="shared" si="3"/>
        <v>#DIV/0!</v>
      </c>
      <c r="AN27" s="30">
        <f t="shared" si="4"/>
        <v>0</v>
      </c>
      <c r="AO27" s="62" t="e">
        <f t="shared" si="5"/>
        <v>#DIV/0!</v>
      </c>
      <c r="AP27" s="30">
        <f t="shared" si="6"/>
        <v>0</v>
      </c>
      <c r="AQ27" s="62" t="e">
        <f t="shared" si="7"/>
        <v>#DIV/0!</v>
      </c>
      <c r="AR27" s="30">
        <f t="shared" si="8"/>
        <v>0</v>
      </c>
      <c r="AS27" s="62" t="e">
        <f t="shared" si="9"/>
        <v>#DIV/0!</v>
      </c>
      <c r="AU27" s="30">
        <f t="shared" si="10"/>
        <v>0</v>
      </c>
      <c r="AV27" s="62" t="e">
        <f t="shared" si="1"/>
        <v>#DIV/0!</v>
      </c>
    </row>
    <row r="28" spans="1:48" ht="15" customHeight="1" thickBot="1" x14ac:dyDescent="0.3">
      <c r="A28" s="41">
        <v>18</v>
      </c>
      <c r="B28" s="54" t="s">
        <v>190</v>
      </c>
      <c r="C28" s="30">
        <f>COUNTIFS('AT. MEDICAS 2024'!$A$9:$A$874,"01/01/2025",'AT. MEDICAS 2024'!$I$9:$I$874,B28)</f>
        <v>0</v>
      </c>
      <c r="D28" s="30">
        <f>COUNTIFS('AT. MEDICAS 2024'!$A$9:$A$874,"02/01/2025",'AT. MEDICAS 2024'!$I$9:$I$874,B28)</f>
        <v>0</v>
      </c>
      <c r="E28" s="30">
        <f>COUNTIFS('AT. MEDICAS 2024'!$A$9:$A$874,"03/01/2025",'AT. MEDICAS 2024'!$I$9:$I$874,C28)</f>
        <v>0</v>
      </c>
      <c r="F28" s="30">
        <f>COUNTIFS('AT. MEDICAS 2024'!$A$9:$A$874,"04/01/2025",'AT. MEDICAS 2024'!$I$9:$I$874,D28)</f>
        <v>0</v>
      </c>
      <c r="G28" s="30">
        <f>COUNTIFS('AT. MEDICAS 2024'!$A$9:$A$874,"05/01/2025",'AT. MEDICAS 2024'!$I$9:$I$874,E28)</f>
        <v>0</v>
      </c>
      <c r="H28" s="30">
        <f>COUNTIFS('AT. MEDICAS 2024'!$A$9:$A$874,"06/01/2025",'AT. MEDICAS 2024'!$I$9:$I$874,F28)</f>
        <v>0</v>
      </c>
      <c r="I28" s="30">
        <f>COUNTIFS('AT. MEDICAS 2024'!$A$9:$A$874,"07/01/2025",'AT. MEDICAS 2024'!$I$9:$I$874,G28)</f>
        <v>0</v>
      </c>
      <c r="J28" s="30">
        <f>COUNTIFS('AT. MEDICAS 2024'!$A$9:$A$874,"08/01/2025",'AT. MEDICAS 2024'!$I$9:$I$874,H28)</f>
        <v>0</v>
      </c>
      <c r="K28" s="30">
        <f>COUNTIFS('AT. MEDICAS 2024'!$A$9:$A$874,"09/01/2025",'AT. MEDICAS 2024'!$I$9:$I$874,I28)</f>
        <v>0</v>
      </c>
      <c r="L28" s="30">
        <f>COUNTIFS('AT. MEDICAS 2024'!$A$9:$A$874,"10/01/2025",'AT. MEDICAS 2024'!$I$9:$I$874,J28)</f>
        <v>0</v>
      </c>
      <c r="M28" s="30">
        <f>COUNTIFS('AT. MEDICAS 2024'!$A$9:$A$874,"11/01/2025",'AT. MEDICAS 2024'!$I$9:$I$874,K28)</f>
        <v>0</v>
      </c>
      <c r="N28" s="30">
        <f>COUNTIFS('AT. MEDICAS 2024'!$A$9:$A$874,"12/01/2025",'AT. MEDICAS 2024'!$I$9:$I$874,L28)</f>
        <v>0</v>
      </c>
      <c r="O28" s="30">
        <f>COUNTIFS('AT. MEDICAS 2024'!$A$9:$A$874,"13/01/2025",'AT. MEDICAS 2024'!$I$9:$I$874,M28)</f>
        <v>0</v>
      </c>
      <c r="P28" s="30">
        <f>COUNTIFS('AT. MEDICAS 2024'!$A$9:$A$874,"14/01/2025",'AT. MEDICAS 2024'!$I$9:$I$874,N28)</f>
        <v>0</v>
      </c>
      <c r="Q28" s="30">
        <f>COUNTIFS('AT. MEDICAS 2024'!$A$9:$A$874,"15/01/2025",'AT. MEDICAS 2024'!$I$9:$I$874,O28)</f>
        <v>0</v>
      </c>
      <c r="R28" s="30">
        <f>COUNTIFS('AT. MEDICAS 2024'!$A$9:$A$874,"16/01/2025",'AT. MEDICAS 2024'!$I$9:$I$874,P28)</f>
        <v>0</v>
      </c>
      <c r="S28" s="30">
        <f>COUNTIFS('AT. MEDICAS 2024'!$A$9:$A$874,"17/01/2025",'AT. MEDICAS 2024'!$I$9:$I$874,Q28)</f>
        <v>0</v>
      </c>
      <c r="T28" s="30">
        <f>COUNTIFS('AT. MEDICAS 2024'!$A$9:$A$874,"18/01/2025",'AT. MEDICAS 2024'!$I$9:$I$874,R28)</f>
        <v>0</v>
      </c>
      <c r="U28" s="30">
        <f>COUNTIFS('AT. MEDICAS 2024'!$A$9:$A$874,"19/01/2025",'AT. MEDICAS 2024'!$I$9:$I$874,S28)</f>
        <v>0</v>
      </c>
      <c r="V28" s="30">
        <f>COUNTIFS('AT. MEDICAS 2024'!$A$9:$A$874,"20/01/2025",'AT. MEDICAS 2024'!$I$9:$I$874,T28)</f>
        <v>0</v>
      </c>
      <c r="W28" s="30">
        <f>COUNTIFS('AT. MEDICAS 2024'!$A$9:$A$874,"21/01/2025",'AT. MEDICAS 2024'!$I$9:$I$874,U28)</f>
        <v>0</v>
      </c>
      <c r="X28" s="30">
        <f>COUNTIFS('AT. MEDICAS 2024'!$A$9:$A$874,"22/01/2025",'AT. MEDICAS 2024'!$I$9:$I$874,V28)</f>
        <v>0</v>
      </c>
      <c r="Y28" s="30">
        <f>COUNTIFS('AT. MEDICAS 2024'!$A$9:$A$874,"23/01/2025",'AT. MEDICAS 2024'!$I$9:$I$874,W28)</f>
        <v>0</v>
      </c>
      <c r="Z28" s="30">
        <f>COUNTIFS('AT. MEDICAS 2024'!$A$9:$A$874,"24/01/2025",'AT. MEDICAS 2024'!$I$9:$I$874,X28)</f>
        <v>0</v>
      </c>
      <c r="AA28" s="30">
        <f>COUNTIFS('AT. MEDICAS 2024'!$A$9:$A$874,"25/01/2025",'AT. MEDICAS 2024'!$I$9:$I$874,Y28)</f>
        <v>0</v>
      </c>
      <c r="AB28" s="30">
        <f>COUNTIFS('AT. MEDICAS 2024'!$A$9:$A$874,"26/01/2025",'AT. MEDICAS 2024'!$I$9:$I$874,Z28)</f>
        <v>0</v>
      </c>
      <c r="AC28" s="30">
        <f>COUNTIFS('AT. MEDICAS 2024'!$A$9:$A$874,"27/01/2025",'AT. MEDICAS 2024'!$I$9:$I$874,AA28)</f>
        <v>0</v>
      </c>
      <c r="AD28" s="30">
        <f>COUNTIFS('AT. MEDICAS 2024'!$A$9:$A$874,"28/01/2025",'AT. MEDICAS 2024'!$I$9:$I$874,AB28)</f>
        <v>0</v>
      </c>
      <c r="AE28" s="30">
        <f>COUNTIFS('AT. MEDICAS 2024'!$A$9:$A$874,"29/01/2025",'AT. MEDICAS 2024'!$I$9:$I$874,AC28)</f>
        <v>0</v>
      </c>
      <c r="AF28" s="30">
        <f>COUNTIFS('AT. MEDICAS 2024'!$A$9:$A$874,"30/01/2025",'AT. MEDICAS 2024'!$I$9:$I$874,AD28)</f>
        <v>0</v>
      </c>
      <c r="AG28" s="30">
        <f>COUNTIFS('AT. MEDICAS 2024'!$A$9:$A$874,"31/01/2025",'AT. MEDICAS 2024'!$I$9:$I$874,AE28)</f>
        <v>0</v>
      </c>
      <c r="AH28" s="55">
        <f t="shared" si="0"/>
        <v>0</v>
      </c>
      <c r="AJ28" s="54" t="s">
        <v>190</v>
      </c>
      <c r="AL28" s="30">
        <f t="shared" si="2"/>
        <v>0</v>
      </c>
      <c r="AM28" s="62" t="e">
        <f t="shared" si="3"/>
        <v>#DIV/0!</v>
      </c>
      <c r="AN28" s="30">
        <f t="shared" si="4"/>
        <v>0</v>
      </c>
      <c r="AO28" s="62" t="e">
        <f t="shared" si="5"/>
        <v>#DIV/0!</v>
      </c>
      <c r="AP28" s="30">
        <f t="shared" si="6"/>
        <v>0</v>
      </c>
      <c r="AQ28" s="62" t="e">
        <f t="shared" si="7"/>
        <v>#DIV/0!</v>
      </c>
      <c r="AR28" s="30">
        <f t="shared" si="8"/>
        <v>0</v>
      </c>
      <c r="AS28" s="62" t="e">
        <f t="shared" si="9"/>
        <v>#DIV/0!</v>
      </c>
      <c r="AU28" s="30">
        <f t="shared" si="10"/>
        <v>0</v>
      </c>
      <c r="AV28" s="62" t="e">
        <f t="shared" si="1"/>
        <v>#DIV/0!</v>
      </c>
    </row>
    <row r="29" spans="1:48" ht="15" customHeight="1" thickBot="1" x14ac:dyDescent="0.3">
      <c r="A29" s="41">
        <v>19</v>
      </c>
      <c r="B29" s="54" t="s">
        <v>118</v>
      </c>
      <c r="C29" s="30">
        <f>COUNTIFS('AT. MEDICAS 2024'!$A$9:$A$874,"01/01/2025",'AT. MEDICAS 2024'!$I$9:$I$874,B29)</f>
        <v>0</v>
      </c>
      <c r="D29" s="30">
        <f>COUNTIFS('AT. MEDICAS 2024'!$A$9:$A$874,"02/01/2025",'AT. MEDICAS 2024'!$I$9:$I$874,B29)</f>
        <v>0</v>
      </c>
      <c r="E29" s="30">
        <f>COUNTIFS('AT. MEDICAS 2024'!$A$9:$A$874,"03/01/2025",'AT. MEDICAS 2024'!$I$9:$I$874,C29)</f>
        <v>0</v>
      </c>
      <c r="F29" s="30">
        <f>COUNTIFS('AT. MEDICAS 2024'!$A$9:$A$874,"04/01/2025",'AT. MEDICAS 2024'!$I$9:$I$874,D29)</f>
        <v>0</v>
      </c>
      <c r="G29" s="30">
        <f>COUNTIFS('AT. MEDICAS 2024'!$A$9:$A$874,"05/01/2025",'AT. MEDICAS 2024'!$I$9:$I$874,E29)</f>
        <v>0</v>
      </c>
      <c r="H29" s="30">
        <f>COUNTIFS('AT. MEDICAS 2024'!$A$9:$A$874,"06/01/2025",'AT. MEDICAS 2024'!$I$9:$I$874,F29)</f>
        <v>0</v>
      </c>
      <c r="I29" s="30">
        <f>COUNTIFS('AT. MEDICAS 2024'!$A$9:$A$874,"07/01/2025",'AT. MEDICAS 2024'!$I$9:$I$874,G29)</f>
        <v>0</v>
      </c>
      <c r="J29" s="30">
        <f>COUNTIFS('AT. MEDICAS 2024'!$A$9:$A$874,"08/01/2025",'AT. MEDICAS 2024'!$I$9:$I$874,H29)</f>
        <v>0</v>
      </c>
      <c r="K29" s="30">
        <f>COUNTIFS('AT. MEDICAS 2024'!$A$9:$A$874,"09/01/2025",'AT. MEDICAS 2024'!$I$9:$I$874,I29)</f>
        <v>0</v>
      </c>
      <c r="L29" s="30">
        <f>COUNTIFS('AT. MEDICAS 2024'!$A$9:$A$874,"10/01/2025",'AT. MEDICAS 2024'!$I$9:$I$874,J29)</f>
        <v>0</v>
      </c>
      <c r="M29" s="30">
        <f>COUNTIFS('AT. MEDICAS 2024'!$A$9:$A$874,"11/01/2025",'AT. MEDICAS 2024'!$I$9:$I$874,K29)</f>
        <v>0</v>
      </c>
      <c r="N29" s="30">
        <f>COUNTIFS('AT. MEDICAS 2024'!$A$9:$A$874,"12/01/2025",'AT. MEDICAS 2024'!$I$9:$I$874,L29)</f>
        <v>0</v>
      </c>
      <c r="O29" s="30">
        <f>COUNTIFS('AT. MEDICAS 2024'!$A$9:$A$874,"13/01/2025",'AT. MEDICAS 2024'!$I$9:$I$874,M29)</f>
        <v>0</v>
      </c>
      <c r="P29" s="30">
        <f>COUNTIFS('AT. MEDICAS 2024'!$A$9:$A$874,"14/01/2025",'AT. MEDICAS 2024'!$I$9:$I$874,N29)</f>
        <v>0</v>
      </c>
      <c r="Q29" s="30">
        <f>COUNTIFS('AT. MEDICAS 2024'!$A$9:$A$874,"15/01/2025",'AT. MEDICAS 2024'!$I$9:$I$874,O29)</f>
        <v>0</v>
      </c>
      <c r="R29" s="30">
        <f>COUNTIFS('AT. MEDICAS 2024'!$A$9:$A$874,"16/01/2025",'AT. MEDICAS 2024'!$I$9:$I$874,P29)</f>
        <v>0</v>
      </c>
      <c r="S29" s="30">
        <f>COUNTIFS('AT. MEDICAS 2024'!$A$9:$A$874,"17/01/2025",'AT. MEDICAS 2024'!$I$9:$I$874,Q29)</f>
        <v>0</v>
      </c>
      <c r="T29" s="30">
        <f>COUNTIFS('AT. MEDICAS 2024'!$A$9:$A$874,"18/01/2025",'AT. MEDICAS 2024'!$I$9:$I$874,R29)</f>
        <v>0</v>
      </c>
      <c r="U29" s="30">
        <f>COUNTIFS('AT. MEDICAS 2024'!$A$9:$A$874,"19/01/2025",'AT. MEDICAS 2024'!$I$9:$I$874,S29)</f>
        <v>0</v>
      </c>
      <c r="V29" s="30">
        <f>COUNTIFS('AT. MEDICAS 2024'!$A$9:$A$874,"20/01/2025",'AT. MEDICAS 2024'!$I$9:$I$874,T29)</f>
        <v>0</v>
      </c>
      <c r="W29" s="30">
        <f>COUNTIFS('AT. MEDICAS 2024'!$A$9:$A$874,"21/01/2025",'AT. MEDICAS 2024'!$I$9:$I$874,U29)</f>
        <v>0</v>
      </c>
      <c r="X29" s="30">
        <f>COUNTIFS('AT. MEDICAS 2024'!$A$9:$A$874,"22/01/2025",'AT. MEDICAS 2024'!$I$9:$I$874,V29)</f>
        <v>0</v>
      </c>
      <c r="Y29" s="30">
        <f>COUNTIFS('AT. MEDICAS 2024'!$A$9:$A$874,"23/01/2025",'AT. MEDICAS 2024'!$I$9:$I$874,W29)</f>
        <v>0</v>
      </c>
      <c r="Z29" s="30">
        <f>COUNTIFS('AT. MEDICAS 2024'!$A$9:$A$874,"24/01/2025",'AT. MEDICAS 2024'!$I$9:$I$874,X29)</f>
        <v>0</v>
      </c>
      <c r="AA29" s="30">
        <f>COUNTIFS('AT. MEDICAS 2024'!$A$9:$A$874,"25/01/2025",'AT. MEDICAS 2024'!$I$9:$I$874,Y29)</f>
        <v>0</v>
      </c>
      <c r="AB29" s="30">
        <f>COUNTIFS('AT. MEDICAS 2024'!$A$9:$A$874,"26/01/2025",'AT. MEDICAS 2024'!$I$9:$I$874,Z29)</f>
        <v>0</v>
      </c>
      <c r="AC29" s="30">
        <f>COUNTIFS('AT. MEDICAS 2024'!$A$9:$A$874,"27/01/2025",'AT. MEDICAS 2024'!$I$9:$I$874,AA29)</f>
        <v>0</v>
      </c>
      <c r="AD29" s="30">
        <f>COUNTIFS('AT. MEDICAS 2024'!$A$9:$A$874,"28/01/2025",'AT. MEDICAS 2024'!$I$9:$I$874,AB29)</f>
        <v>0</v>
      </c>
      <c r="AE29" s="30">
        <f>COUNTIFS('AT. MEDICAS 2024'!$A$9:$A$874,"29/01/2025",'AT. MEDICAS 2024'!$I$9:$I$874,AC29)</f>
        <v>0</v>
      </c>
      <c r="AF29" s="30">
        <f>COUNTIFS('AT. MEDICAS 2024'!$A$9:$A$874,"30/01/2025",'AT. MEDICAS 2024'!$I$9:$I$874,AD29)</f>
        <v>0</v>
      </c>
      <c r="AG29" s="30">
        <f>COUNTIFS('AT. MEDICAS 2024'!$A$9:$A$874,"31/01/2025",'AT. MEDICAS 2024'!$I$9:$I$874,AE29)</f>
        <v>0</v>
      </c>
      <c r="AH29" s="55">
        <f t="shared" si="0"/>
        <v>0</v>
      </c>
      <c r="AJ29" s="54" t="s">
        <v>118</v>
      </c>
      <c r="AL29" s="30">
        <f t="shared" si="2"/>
        <v>0</v>
      </c>
      <c r="AM29" s="62" t="e">
        <f t="shared" si="3"/>
        <v>#DIV/0!</v>
      </c>
      <c r="AN29" s="30">
        <f t="shared" si="4"/>
        <v>0</v>
      </c>
      <c r="AO29" s="62" t="e">
        <f t="shared" si="5"/>
        <v>#DIV/0!</v>
      </c>
      <c r="AP29" s="30">
        <f t="shared" si="6"/>
        <v>0</v>
      </c>
      <c r="AQ29" s="62" t="e">
        <f t="shared" si="7"/>
        <v>#DIV/0!</v>
      </c>
      <c r="AR29" s="30">
        <f t="shared" si="8"/>
        <v>0</v>
      </c>
      <c r="AS29" s="62" t="e">
        <f t="shared" si="9"/>
        <v>#DIV/0!</v>
      </c>
      <c r="AU29" s="30">
        <f t="shared" si="10"/>
        <v>0</v>
      </c>
      <c r="AV29" s="62" t="e">
        <f t="shared" si="1"/>
        <v>#DIV/0!</v>
      </c>
    </row>
    <row r="30" spans="1:48" ht="15" customHeight="1" thickBot="1" x14ac:dyDescent="0.3">
      <c r="A30" s="41">
        <v>20</v>
      </c>
      <c r="B30" s="54" t="s">
        <v>31</v>
      </c>
      <c r="C30" s="30">
        <f>COUNTIFS('AT. MEDICAS 2024'!$A$9:$A$874,"01/01/2025",'AT. MEDICAS 2024'!$I$9:$I$874,B30)</f>
        <v>0</v>
      </c>
      <c r="D30" s="30">
        <f>COUNTIFS('AT. MEDICAS 2024'!$A$9:$A$874,"02/01/2025",'AT. MEDICAS 2024'!$I$9:$I$874,B30)</f>
        <v>0</v>
      </c>
      <c r="E30" s="30">
        <f>COUNTIFS('AT. MEDICAS 2024'!$A$9:$A$874,"03/01/2025",'AT. MEDICAS 2024'!$I$9:$I$874,C30)</f>
        <v>0</v>
      </c>
      <c r="F30" s="30">
        <f>COUNTIFS('AT. MEDICAS 2024'!$A$9:$A$874,"04/01/2025",'AT. MEDICAS 2024'!$I$9:$I$874,D30)</f>
        <v>0</v>
      </c>
      <c r="G30" s="30">
        <f>COUNTIFS('AT. MEDICAS 2024'!$A$9:$A$874,"05/01/2025",'AT. MEDICAS 2024'!$I$9:$I$874,E30)</f>
        <v>0</v>
      </c>
      <c r="H30" s="30">
        <f>COUNTIFS('AT. MEDICAS 2024'!$A$9:$A$874,"06/01/2025",'AT. MEDICAS 2024'!$I$9:$I$874,F30)</f>
        <v>0</v>
      </c>
      <c r="I30" s="30">
        <f>COUNTIFS('AT. MEDICAS 2024'!$A$9:$A$874,"07/01/2025",'AT. MEDICAS 2024'!$I$9:$I$874,G30)</f>
        <v>0</v>
      </c>
      <c r="J30" s="30">
        <f>COUNTIFS('AT. MEDICAS 2024'!$A$9:$A$874,"08/01/2025",'AT. MEDICAS 2024'!$I$9:$I$874,H30)</f>
        <v>0</v>
      </c>
      <c r="K30" s="30">
        <f>COUNTIFS('AT. MEDICAS 2024'!$A$9:$A$874,"09/01/2025",'AT. MEDICAS 2024'!$I$9:$I$874,I30)</f>
        <v>0</v>
      </c>
      <c r="L30" s="30">
        <f>COUNTIFS('AT. MEDICAS 2024'!$A$9:$A$874,"10/01/2025",'AT. MEDICAS 2024'!$I$9:$I$874,J30)</f>
        <v>0</v>
      </c>
      <c r="M30" s="30">
        <f>COUNTIFS('AT. MEDICAS 2024'!$A$9:$A$874,"11/01/2025",'AT. MEDICAS 2024'!$I$9:$I$874,K30)</f>
        <v>0</v>
      </c>
      <c r="N30" s="30">
        <f>COUNTIFS('AT. MEDICAS 2024'!$A$9:$A$874,"12/01/2025",'AT. MEDICAS 2024'!$I$9:$I$874,L30)</f>
        <v>0</v>
      </c>
      <c r="O30" s="30">
        <f>COUNTIFS('AT. MEDICAS 2024'!$A$9:$A$874,"13/01/2025",'AT. MEDICAS 2024'!$I$9:$I$874,M30)</f>
        <v>0</v>
      </c>
      <c r="P30" s="30">
        <f>COUNTIFS('AT. MEDICAS 2024'!$A$9:$A$874,"14/01/2025",'AT. MEDICAS 2024'!$I$9:$I$874,N30)</f>
        <v>0</v>
      </c>
      <c r="Q30" s="30">
        <f>COUNTIFS('AT. MEDICAS 2024'!$A$9:$A$874,"15/01/2025",'AT. MEDICAS 2024'!$I$9:$I$874,O30)</f>
        <v>0</v>
      </c>
      <c r="R30" s="30">
        <f>COUNTIFS('AT. MEDICAS 2024'!$A$9:$A$874,"16/01/2025",'AT. MEDICAS 2024'!$I$9:$I$874,P30)</f>
        <v>0</v>
      </c>
      <c r="S30" s="30">
        <f>COUNTIFS('AT. MEDICAS 2024'!$A$9:$A$874,"17/01/2025",'AT. MEDICAS 2024'!$I$9:$I$874,Q30)</f>
        <v>0</v>
      </c>
      <c r="T30" s="30">
        <f>COUNTIFS('AT. MEDICAS 2024'!$A$9:$A$874,"18/01/2025",'AT. MEDICAS 2024'!$I$9:$I$874,R30)</f>
        <v>0</v>
      </c>
      <c r="U30" s="30">
        <f>COUNTIFS('AT. MEDICAS 2024'!$A$9:$A$874,"19/01/2025",'AT. MEDICAS 2024'!$I$9:$I$874,S30)</f>
        <v>0</v>
      </c>
      <c r="V30" s="30">
        <f>COUNTIFS('AT. MEDICAS 2024'!$A$9:$A$874,"20/01/2025",'AT. MEDICAS 2024'!$I$9:$I$874,T30)</f>
        <v>0</v>
      </c>
      <c r="W30" s="30">
        <f>COUNTIFS('AT. MEDICAS 2024'!$A$9:$A$874,"21/01/2025",'AT. MEDICAS 2024'!$I$9:$I$874,U30)</f>
        <v>0</v>
      </c>
      <c r="X30" s="30">
        <f>COUNTIFS('AT. MEDICAS 2024'!$A$9:$A$874,"22/01/2025",'AT. MEDICAS 2024'!$I$9:$I$874,V30)</f>
        <v>0</v>
      </c>
      <c r="Y30" s="30">
        <f>COUNTIFS('AT. MEDICAS 2024'!$A$9:$A$874,"23/01/2025",'AT. MEDICAS 2024'!$I$9:$I$874,W30)</f>
        <v>0</v>
      </c>
      <c r="Z30" s="30">
        <f>COUNTIFS('AT. MEDICAS 2024'!$A$9:$A$874,"24/01/2025",'AT. MEDICAS 2024'!$I$9:$I$874,X30)</f>
        <v>0</v>
      </c>
      <c r="AA30" s="30">
        <f>COUNTIFS('AT. MEDICAS 2024'!$A$9:$A$874,"25/01/2025",'AT. MEDICAS 2024'!$I$9:$I$874,Y30)</f>
        <v>0</v>
      </c>
      <c r="AB30" s="30">
        <f>COUNTIFS('AT. MEDICAS 2024'!$A$9:$A$874,"26/01/2025",'AT. MEDICAS 2024'!$I$9:$I$874,Z30)</f>
        <v>0</v>
      </c>
      <c r="AC30" s="30">
        <f>COUNTIFS('AT. MEDICAS 2024'!$A$9:$A$874,"27/01/2025",'AT. MEDICAS 2024'!$I$9:$I$874,AA30)</f>
        <v>0</v>
      </c>
      <c r="AD30" s="30">
        <f>COUNTIFS('AT. MEDICAS 2024'!$A$9:$A$874,"28/01/2025",'AT. MEDICAS 2024'!$I$9:$I$874,AB30)</f>
        <v>0</v>
      </c>
      <c r="AE30" s="30">
        <f>COUNTIFS('AT. MEDICAS 2024'!$A$9:$A$874,"29/01/2025",'AT. MEDICAS 2024'!$I$9:$I$874,AC30)</f>
        <v>0</v>
      </c>
      <c r="AF30" s="30">
        <f>COUNTIFS('AT. MEDICAS 2024'!$A$9:$A$874,"30/01/2025",'AT. MEDICAS 2024'!$I$9:$I$874,AD30)</f>
        <v>0</v>
      </c>
      <c r="AG30" s="30">
        <f>COUNTIFS('AT. MEDICAS 2024'!$A$9:$A$874,"31/01/2025",'AT. MEDICAS 2024'!$I$9:$I$874,AE30)</f>
        <v>0</v>
      </c>
      <c r="AH30" s="55">
        <f t="shared" si="0"/>
        <v>0</v>
      </c>
      <c r="AJ30" s="54" t="s">
        <v>31</v>
      </c>
      <c r="AL30" s="30">
        <f t="shared" si="2"/>
        <v>0</v>
      </c>
      <c r="AM30" s="62" t="e">
        <f t="shared" si="3"/>
        <v>#DIV/0!</v>
      </c>
      <c r="AN30" s="30">
        <f t="shared" si="4"/>
        <v>0</v>
      </c>
      <c r="AO30" s="62" t="e">
        <f t="shared" si="5"/>
        <v>#DIV/0!</v>
      </c>
      <c r="AP30" s="30">
        <f t="shared" si="6"/>
        <v>0</v>
      </c>
      <c r="AQ30" s="62" t="e">
        <f t="shared" si="7"/>
        <v>#DIV/0!</v>
      </c>
      <c r="AR30" s="30">
        <f t="shared" si="8"/>
        <v>0</v>
      </c>
      <c r="AS30" s="62" t="e">
        <f t="shared" si="9"/>
        <v>#DIV/0!</v>
      </c>
      <c r="AU30" s="30">
        <f t="shared" si="10"/>
        <v>0</v>
      </c>
      <c r="AV30" s="62" t="e">
        <f t="shared" si="1"/>
        <v>#DIV/0!</v>
      </c>
    </row>
    <row r="31" spans="1:48" ht="18.600000000000001" customHeight="1" thickBot="1" x14ac:dyDescent="0.3">
      <c r="A31" s="92"/>
      <c r="B31" s="93"/>
      <c r="C31" s="55">
        <f>SUM(C11:C30)</f>
        <v>0</v>
      </c>
      <c r="D31" s="55">
        <f t="shared" ref="D31:AG31" si="11">SUM(D11:D30)</f>
        <v>0</v>
      </c>
      <c r="E31" s="55">
        <f t="shared" si="11"/>
        <v>0</v>
      </c>
      <c r="F31" s="55">
        <f t="shared" si="11"/>
        <v>0</v>
      </c>
      <c r="G31" s="55">
        <f t="shared" si="11"/>
        <v>0</v>
      </c>
      <c r="H31" s="55">
        <f t="shared" si="11"/>
        <v>0</v>
      </c>
      <c r="I31" s="55">
        <f t="shared" si="11"/>
        <v>0</v>
      </c>
      <c r="J31" s="55">
        <f t="shared" si="11"/>
        <v>0</v>
      </c>
      <c r="K31" s="55">
        <f t="shared" si="11"/>
        <v>0</v>
      </c>
      <c r="L31" s="55">
        <f t="shared" si="11"/>
        <v>0</v>
      </c>
      <c r="M31" s="55">
        <f t="shared" si="11"/>
        <v>0</v>
      </c>
      <c r="N31" s="55">
        <f t="shared" si="11"/>
        <v>0</v>
      </c>
      <c r="O31" s="55">
        <f t="shared" si="11"/>
        <v>0</v>
      </c>
      <c r="P31" s="55">
        <f t="shared" si="11"/>
        <v>0</v>
      </c>
      <c r="Q31" s="55">
        <f t="shared" si="11"/>
        <v>0</v>
      </c>
      <c r="R31" s="55">
        <f t="shared" si="11"/>
        <v>0</v>
      </c>
      <c r="S31" s="55">
        <f t="shared" si="11"/>
        <v>0</v>
      </c>
      <c r="T31" s="55">
        <f t="shared" si="11"/>
        <v>0</v>
      </c>
      <c r="U31" s="55">
        <f t="shared" si="11"/>
        <v>0</v>
      </c>
      <c r="V31" s="55">
        <f t="shared" si="11"/>
        <v>0</v>
      </c>
      <c r="W31" s="55">
        <f t="shared" si="11"/>
        <v>0</v>
      </c>
      <c r="X31" s="55">
        <f t="shared" si="11"/>
        <v>0</v>
      </c>
      <c r="Y31" s="55">
        <f t="shared" si="11"/>
        <v>0</v>
      </c>
      <c r="Z31" s="55">
        <f t="shared" si="11"/>
        <v>0</v>
      </c>
      <c r="AA31" s="55">
        <f t="shared" si="11"/>
        <v>0</v>
      </c>
      <c r="AB31" s="55">
        <f t="shared" si="11"/>
        <v>0</v>
      </c>
      <c r="AC31" s="55">
        <f t="shared" si="11"/>
        <v>0</v>
      </c>
      <c r="AD31" s="55">
        <f t="shared" si="11"/>
        <v>0</v>
      </c>
      <c r="AE31" s="55">
        <f t="shared" si="11"/>
        <v>0</v>
      </c>
      <c r="AF31" s="55">
        <f>SUM(AF11:AF30)</f>
        <v>0</v>
      </c>
      <c r="AG31" s="55">
        <f t="shared" si="11"/>
        <v>0</v>
      </c>
      <c r="AH31" s="30">
        <f>SUM(AH11:AH30)</f>
        <v>0</v>
      </c>
      <c r="AJ31" s="61" t="s">
        <v>178</v>
      </c>
      <c r="AL31" s="30">
        <f t="shared" ref="AL31:AS31" si="12">SUM(AL11:AL30)</f>
        <v>0</v>
      </c>
      <c r="AM31" s="63" t="e">
        <f t="shared" si="12"/>
        <v>#DIV/0!</v>
      </c>
      <c r="AN31" s="30">
        <f t="shared" si="12"/>
        <v>0</v>
      </c>
      <c r="AO31" s="63" t="e">
        <f t="shared" si="12"/>
        <v>#DIV/0!</v>
      </c>
      <c r="AP31" s="30">
        <f t="shared" si="12"/>
        <v>0</v>
      </c>
      <c r="AQ31" s="63" t="e">
        <f t="shared" si="12"/>
        <v>#DIV/0!</v>
      </c>
      <c r="AR31" s="30">
        <f t="shared" si="12"/>
        <v>0</v>
      </c>
      <c r="AS31" s="63" t="e">
        <f t="shared" si="12"/>
        <v>#DIV/0!</v>
      </c>
      <c r="AU31" s="30">
        <f>SUM(AU11:AU30)</f>
        <v>0</v>
      </c>
      <c r="AV31" s="63" t="e">
        <f>SUM(AV11:AV30)</f>
        <v>#DIV/0!</v>
      </c>
    </row>
    <row r="32" spans="1:48" ht="15" customHeight="1" thickBot="1" x14ac:dyDescent="0.3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 t="s">
        <v>191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16"/>
    </row>
    <row r="33" spans="1:34" ht="25.8" customHeight="1" x14ac:dyDescent="0.25">
      <c r="A33" s="92" t="s">
        <v>174</v>
      </c>
      <c r="B33" s="93"/>
      <c r="C33" s="111">
        <v>45689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3" t="s">
        <v>178</v>
      </c>
    </row>
    <row r="34" spans="1:34" ht="13.8" thickBot="1" x14ac:dyDescent="0.3">
      <c r="A34" s="115" t="s">
        <v>175</v>
      </c>
      <c r="B34" s="115" t="s">
        <v>176</v>
      </c>
      <c r="C34" s="45">
        <v>1</v>
      </c>
      <c r="D34" s="45">
        <v>2</v>
      </c>
      <c r="E34" s="45">
        <v>3</v>
      </c>
      <c r="F34" s="45">
        <v>4</v>
      </c>
      <c r="G34" s="45">
        <v>5</v>
      </c>
      <c r="H34" s="45">
        <v>6</v>
      </c>
      <c r="I34" s="45">
        <v>7</v>
      </c>
      <c r="J34" s="45">
        <v>8</v>
      </c>
      <c r="K34" s="45">
        <v>9</v>
      </c>
      <c r="L34" s="45">
        <v>10</v>
      </c>
      <c r="M34" s="45">
        <v>11</v>
      </c>
      <c r="N34" s="45">
        <v>12</v>
      </c>
      <c r="O34" s="45">
        <v>13</v>
      </c>
      <c r="P34" s="45">
        <v>14</v>
      </c>
      <c r="Q34" s="45">
        <v>15</v>
      </c>
      <c r="R34" s="45">
        <v>16</v>
      </c>
      <c r="S34" s="45">
        <v>17</v>
      </c>
      <c r="T34" s="45">
        <v>18</v>
      </c>
      <c r="U34" s="45">
        <v>19</v>
      </c>
      <c r="V34" s="45">
        <v>20</v>
      </c>
      <c r="W34" s="45">
        <v>21</v>
      </c>
      <c r="X34" s="45">
        <v>22</v>
      </c>
      <c r="Y34" s="45">
        <v>23</v>
      </c>
      <c r="Z34" s="45">
        <v>24</v>
      </c>
      <c r="AA34" s="45">
        <v>25</v>
      </c>
      <c r="AB34" s="45">
        <v>26</v>
      </c>
      <c r="AC34" s="45">
        <v>27</v>
      </c>
      <c r="AD34" s="45">
        <v>28</v>
      </c>
      <c r="AE34" s="45"/>
      <c r="AF34" s="45"/>
      <c r="AG34" s="45"/>
      <c r="AH34" s="114"/>
    </row>
    <row r="35" spans="1:34" ht="13.8" thickBot="1" x14ac:dyDescent="0.3">
      <c r="A35" s="116"/>
      <c r="B35" s="116"/>
      <c r="C35" s="28" t="s">
        <v>182</v>
      </c>
      <c r="D35" s="28" t="s">
        <v>183</v>
      </c>
      <c r="E35" s="28" t="s">
        <v>179</v>
      </c>
      <c r="F35" s="28" t="s">
        <v>24</v>
      </c>
      <c r="G35" s="28" t="s">
        <v>24</v>
      </c>
      <c r="H35" s="28" t="s">
        <v>180</v>
      </c>
      <c r="I35" s="28" t="s">
        <v>181</v>
      </c>
      <c r="J35" s="28" t="s">
        <v>182</v>
      </c>
      <c r="K35" s="28" t="s">
        <v>183</v>
      </c>
      <c r="L35" s="28" t="s">
        <v>179</v>
      </c>
      <c r="M35" s="28" t="s">
        <v>24</v>
      </c>
      <c r="N35" s="28" t="s">
        <v>24</v>
      </c>
      <c r="O35" s="28" t="s">
        <v>180</v>
      </c>
      <c r="P35" s="28" t="s">
        <v>181</v>
      </c>
      <c r="Q35" s="28" t="s">
        <v>182</v>
      </c>
      <c r="R35" s="28" t="s">
        <v>183</v>
      </c>
      <c r="S35" s="28" t="s">
        <v>179</v>
      </c>
      <c r="T35" s="28" t="s">
        <v>24</v>
      </c>
      <c r="U35" s="28" t="s">
        <v>24</v>
      </c>
      <c r="V35" s="28" t="s">
        <v>180</v>
      </c>
      <c r="W35" s="28" t="s">
        <v>181</v>
      </c>
      <c r="X35" s="28" t="s">
        <v>182</v>
      </c>
      <c r="Y35" s="28" t="s">
        <v>183</v>
      </c>
      <c r="Z35" s="28" t="s">
        <v>179</v>
      </c>
      <c r="AA35" s="28" t="s">
        <v>24</v>
      </c>
      <c r="AB35" s="28" t="s">
        <v>24</v>
      </c>
      <c r="AC35" s="28" t="s">
        <v>180</v>
      </c>
      <c r="AD35" s="28" t="s">
        <v>181</v>
      </c>
      <c r="AE35" s="28"/>
      <c r="AF35" s="28"/>
      <c r="AG35" s="28"/>
      <c r="AH35" s="17" t="s">
        <v>184</v>
      </c>
    </row>
    <row r="36" spans="1:34" ht="13.8" thickBot="1" x14ac:dyDescent="0.3">
      <c r="A36" s="41">
        <v>1</v>
      </c>
      <c r="B36" s="54" t="s">
        <v>185</v>
      </c>
      <c r="C36" s="30">
        <f>COUNTIFS('AT. MEDICAS 2024'!$A$9:$A$874,"01/02/2025",'AT. MEDICAS 2024'!$I$9:$I$874,B36)</f>
        <v>0</v>
      </c>
      <c r="D36" s="30">
        <f>COUNTIFS('AT. MEDICAS 2024'!$A$9:$A$874,"02/02/2025",'AT. MEDICAS 2024'!$I$9:$I$874,B36)</f>
        <v>0</v>
      </c>
      <c r="E36" s="30">
        <f>COUNTIFS('AT. MEDICAS 2024'!$A$9:$A$874,"03/02/2025",'AT. MEDICAS 2024'!$I$9:$I$874,B36)</f>
        <v>0</v>
      </c>
      <c r="F36" s="30">
        <f>COUNTIFS('AT. MEDICAS 2024'!$A$9:$A$874,"04/02/2025",'AT. MEDICAS 2024'!$I$9:$I$874,B36)</f>
        <v>0</v>
      </c>
      <c r="G36" s="30">
        <f>COUNTIFS('AT. MEDICAS 2024'!$A$9:$A$874,"05/02/2025",'AT. MEDICAS 2024'!$I$9:$I$874,B36)</f>
        <v>0</v>
      </c>
      <c r="H36" s="30">
        <f>COUNTIFS('AT. MEDICAS 2024'!$A$9:$A$874,"06/02/2025",'AT. MEDICAS 2024'!$I$9:$I$874,B36)</f>
        <v>0</v>
      </c>
      <c r="I36" s="30">
        <f>COUNTIFS('AT. MEDICAS 2024'!$A$9:$A$874,"07/02/2025",'AT. MEDICAS 2024'!$I$9:$I$874,B36)</f>
        <v>0</v>
      </c>
      <c r="J36" s="30">
        <f>COUNTIFS('AT. MEDICAS 2024'!$A$9:$A$874,"08/02/2025",'AT. MEDICAS 2024'!$I$9:$I$874,B36)</f>
        <v>0</v>
      </c>
      <c r="K36" s="30">
        <f>COUNTIFS('AT. MEDICAS 2024'!$A$9:$A$874,"09/02/2025",'AT. MEDICAS 2024'!$I$9:$I$874,B36)</f>
        <v>0</v>
      </c>
      <c r="L36" s="30">
        <f>COUNTIFS('AT. MEDICAS 2024'!$A$9:$A$874,"10/02/2025",'AT. MEDICAS 2024'!$I$9:$I$874,B36)</f>
        <v>0</v>
      </c>
      <c r="M36" s="30">
        <f>COUNTIFS('AT. MEDICAS 2024'!$A$9:$A$874,"11/02/2025",'AT. MEDICAS 2024'!$I$9:$I$874,B36)</f>
        <v>0</v>
      </c>
      <c r="N36" s="30">
        <f>COUNTIFS('AT. MEDICAS 2024'!$A$9:$A$874,"12/02/2025",'AT. MEDICAS 2024'!$I$9:$I$874,B36)</f>
        <v>0</v>
      </c>
      <c r="O36" s="30">
        <f>COUNTIFS('AT. MEDICAS 2024'!$A$9:$A$874,"13/02/2025",'AT. MEDICAS 2024'!$I$9:$I$874,B36)</f>
        <v>0</v>
      </c>
      <c r="P36" s="30">
        <f>COUNTIFS('AT. MEDICAS 2024'!$A$9:$A$874,"14/02/2025",'AT. MEDICAS 2024'!$I$9:$I$874,B36)</f>
        <v>0</v>
      </c>
      <c r="Q36" s="30">
        <f>COUNTIFS('AT. MEDICAS 2024'!$A$9:$A$874,"15/02/2025",'AT. MEDICAS 2024'!$I$9:$I$874,B36)</f>
        <v>0</v>
      </c>
      <c r="R36" s="30">
        <f>COUNTIFS('AT. MEDICAS 2024'!$A$9:$A$874,"16/02/2025",'AT. MEDICAS 2024'!$I$9:$I$874,B36)</f>
        <v>0</v>
      </c>
      <c r="S36" s="30">
        <f>COUNTIFS('AT. MEDICAS 2024'!$A$9:$A$874,"17/02/2025",'AT. MEDICAS 2024'!$I$9:$I$874,B36)</f>
        <v>0</v>
      </c>
      <c r="T36" s="30">
        <f>COUNTIFS('AT. MEDICAS 2024'!$A$9:$A$874,"18/02/2025",'AT. MEDICAS 2024'!$I$9:$I$874,B36)</f>
        <v>0</v>
      </c>
      <c r="U36" s="30">
        <f>COUNTIFS('AT. MEDICAS 2024'!$A$9:$A$874,"19/02/2025",'AT. MEDICAS 2024'!$I$9:$I$874,B36)</f>
        <v>0</v>
      </c>
      <c r="V36" s="30">
        <f>COUNTIFS('AT. MEDICAS 2024'!$A$9:$A$874,"20/02/2025",'AT. MEDICAS 2024'!$I$9:$I$874,B36)</f>
        <v>0</v>
      </c>
      <c r="W36" s="30">
        <f>COUNTIFS('AT. MEDICAS 2024'!$A$9:$A$874,"21/02/2025",'AT. MEDICAS 2024'!$I$9:$I$874,B36)</f>
        <v>0</v>
      </c>
      <c r="X36" s="30">
        <f>COUNTIFS('AT. MEDICAS 2024'!$A$9:$A$874,"22/02/2025",'AT. MEDICAS 2024'!$I$9:$I$874,B36)</f>
        <v>0</v>
      </c>
      <c r="Y36" s="30">
        <f>COUNTIFS('AT. MEDICAS 2024'!$A$9:$A$874,"23/02/2025",'AT. MEDICAS 2024'!$I$9:$I$874,B36)</f>
        <v>0</v>
      </c>
      <c r="Z36" s="30">
        <f>COUNTIFS('AT. MEDICAS 2024'!$A$9:$A$874,"24/02/2025",'AT. MEDICAS 2024'!$I$9:$I$874,B36)</f>
        <v>0</v>
      </c>
      <c r="AA36" s="30">
        <f>COUNTIFS('AT. MEDICAS 2024'!$A$9:$A$874,"25/02/2025",'AT. MEDICAS 2024'!$I$9:$I$874,B36)</f>
        <v>0</v>
      </c>
      <c r="AB36" s="30">
        <f>COUNTIFS('AT. MEDICAS 2024'!$A$9:$A$874,"26/02/2025",'AT. MEDICAS 2024'!$I$9:$I$874,B36)</f>
        <v>0</v>
      </c>
      <c r="AC36" s="30">
        <f>COUNTIFS('AT. MEDICAS 2024'!$A$9:$A$874,"27/02/2025",'AT. MEDICAS 2024'!$I$9:$I$874,B36)</f>
        <v>0</v>
      </c>
      <c r="AD36" s="30">
        <f>COUNTIFS('AT. MEDICAS 2024'!$A$9:$A$874,"28/02/2025",'AT. MEDICAS 2024'!$I$9:$I$874,B36)</f>
        <v>0</v>
      </c>
      <c r="AE36" s="30"/>
      <c r="AF36" s="30"/>
      <c r="AG36" s="30"/>
      <c r="AH36" s="55">
        <f t="shared" ref="AH36:AH55" si="13">SUM(C36:AG36)</f>
        <v>0</v>
      </c>
    </row>
    <row r="37" spans="1:34" ht="13.8" thickBot="1" x14ac:dyDescent="0.3">
      <c r="A37" s="41">
        <v>2</v>
      </c>
      <c r="B37" s="54" t="s">
        <v>186</v>
      </c>
      <c r="C37" s="30">
        <f>COUNTIFS('AT. MEDICAS 2024'!$A$9:$A$874,"01/02/2025",'AT. MEDICAS 2024'!$I$9:$I$874,B37)</f>
        <v>0</v>
      </c>
      <c r="D37" s="30">
        <f>COUNTIFS('AT. MEDICAS 2024'!$A$9:$A$874,"02/02/2025",'AT. MEDICAS 2024'!$I$9:$I$874,B37)</f>
        <v>0</v>
      </c>
      <c r="E37" s="30">
        <f>COUNTIFS('AT. MEDICAS 2024'!$A$9:$A$874,"03/02/2025",'AT. MEDICAS 2024'!$I$9:$I$874,B37)</f>
        <v>0</v>
      </c>
      <c r="F37" s="30">
        <f>COUNTIFS('AT. MEDICAS 2024'!$A$9:$A$874,"04/02/2025",'AT. MEDICAS 2024'!$I$9:$I$874,B37)</f>
        <v>0</v>
      </c>
      <c r="G37" s="30">
        <f>COUNTIFS('AT. MEDICAS 2024'!$A$9:$A$874,"05/02/2025",'AT. MEDICAS 2024'!$I$9:$I$874,B37)</f>
        <v>0</v>
      </c>
      <c r="H37" s="30">
        <f>COUNTIFS('AT. MEDICAS 2024'!$A$9:$A$874,"06/02/2025",'AT. MEDICAS 2024'!$I$9:$I$874,B37)</f>
        <v>0</v>
      </c>
      <c r="I37" s="30">
        <f>COUNTIFS('AT. MEDICAS 2024'!$A$9:$A$874,"07/02/2025",'AT. MEDICAS 2024'!$I$9:$I$874,B37)</f>
        <v>0</v>
      </c>
      <c r="J37" s="30">
        <f>COUNTIFS('AT. MEDICAS 2024'!$A$9:$A$874,"08/02/2025",'AT. MEDICAS 2024'!$I$9:$I$874,B37)</f>
        <v>0</v>
      </c>
      <c r="K37" s="30">
        <f>COUNTIFS('AT. MEDICAS 2024'!$A$9:$A$874,"09/02/2025",'AT. MEDICAS 2024'!$I$9:$I$874,B37)</f>
        <v>0</v>
      </c>
      <c r="L37" s="30">
        <f>COUNTIFS('AT. MEDICAS 2024'!$A$9:$A$874,"10/02/2025",'AT. MEDICAS 2024'!$I$9:$I$874,B37)</f>
        <v>0</v>
      </c>
      <c r="M37" s="30">
        <f>COUNTIFS('AT. MEDICAS 2024'!$A$9:$A$874,"11/02/2025",'AT. MEDICAS 2024'!$I$9:$I$874,B37)</f>
        <v>0</v>
      </c>
      <c r="N37" s="30">
        <f>COUNTIFS('AT. MEDICAS 2024'!$A$9:$A$874,"12/02/2025",'AT. MEDICAS 2024'!$I$9:$I$874,B37)</f>
        <v>0</v>
      </c>
      <c r="O37" s="30">
        <f>COUNTIFS('AT. MEDICAS 2024'!$A$9:$A$874,"13/02/2025",'AT. MEDICAS 2024'!$I$9:$I$874,B37)</f>
        <v>0</v>
      </c>
      <c r="P37" s="30">
        <f>COUNTIFS('AT. MEDICAS 2024'!$A$9:$A$874,"14/02/2025",'AT. MEDICAS 2024'!$I$9:$I$874,B37)</f>
        <v>0</v>
      </c>
      <c r="Q37" s="30">
        <f>COUNTIFS('AT. MEDICAS 2024'!$A$9:$A$874,"15/02/2025",'AT. MEDICAS 2024'!$I$9:$I$874,B37)</f>
        <v>0</v>
      </c>
      <c r="R37" s="30">
        <f>COUNTIFS('AT. MEDICAS 2024'!$A$9:$A$874,"16/02/2025",'AT. MEDICAS 2024'!$I$9:$I$874,B37)</f>
        <v>0</v>
      </c>
      <c r="S37" s="30">
        <f>COUNTIFS('AT. MEDICAS 2024'!$A$9:$A$874,"17/02/2025",'AT. MEDICAS 2024'!$I$9:$I$874,B37)</f>
        <v>0</v>
      </c>
      <c r="T37" s="30">
        <f>COUNTIFS('AT. MEDICAS 2024'!$A$9:$A$874,"18/02/2025",'AT. MEDICAS 2024'!$I$9:$I$874,B37)</f>
        <v>0</v>
      </c>
      <c r="U37" s="30">
        <f>COUNTIFS('AT. MEDICAS 2024'!$A$9:$A$874,"19/02/2025",'AT. MEDICAS 2024'!$I$9:$I$874,B37)</f>
        <v>0</v>
      </c>
      <c r="V37" s="30">
        <f>COUNTIFS('AT. MEDICAS 2024'!$A$9:$A$874,"20/02/2025",'AT. MEDICAS 2024'!$I$9:$I$874,B37)</f>
        <v>0</v>
      </c>
      <c r="W37" s="30">
        <f>COUNTIFS('AT. MEDICAS 2024'!$A$9:$A$874,"21/02/2025",'AT. MEDICAS 2024'!$I$9:$I$874,B37)</f>
        <v>0</v>
      </c>
      <c r="X37" s="30">
        <f>COUNTIFS('AT. MEDICAS 2024'!$A$9:$A$874,"22/02/2025",'AT. MEDICAS 2024'!$I$9:$I$874,B37)</f>
        <v>0</v>
      </c>
      <c r="Y37" s="30">
        <f>COUNTIFS('AT. MEDICAS 2024'!$A$9:$A$874,"23/02/2025",'AT. MEDICAS 2024'!$I$9:$I$874,B37)</f>
        <v>0</v>
      </c>
      <c r="Z37" s="30">
        <f>COUNTIFS('AT. MEDICAS 2024'!$A$9:$A$874,"24/02/2025",'AT. MEDICAS 2024'!$I$9:$I$874,B37)</f>
        <v>0</v>
      </c>
      <c r="AA37" s="30">
        <f>COUNTIFS('AT. MEDICAS 2024'!$A$9:$A$874,"25/02/2025",'AT. MEDICAS 2024'!$I$9:$I$874,B37)</f>
        <v>0</v>
      </c>
      <c r="AB37" s="30">
        <f>COUNTIFS('AT. MEDICAS 2024'!$A$9:$A$874,"26/02/2025",'AT. MEDICAS 2024'!$I$9:$I$874,B37)</f>
        <v>0</v>
      </c>
      <c r="AC37" s="30">
        <f>COUNTIFS('AT. MEDICAS 2024'!$A$9:$A$874,"27/02/2025",'AT. MEDICAS 2024'!$I$9:$I$874,B37)</f>
        <v>0</v>
      </c>
      <c r="AD37" s="30">
        <f>COUNTIFS('AT. MEDICAS 2024'!$A$9:$A$874,"28/02/2025",'AT. MEDICAS 2024'!$I$9:$I$874,B37)</f>
        <v>0</v>
      </c>
      <c r="AE37" s="30"/>
      <c r="AF37" s="30"/>
      <c r="AG37" s="30"/>
      <c r="AH37" s="55">
        <f t="shared" si="13"/>
        <v>0</v>
      </c>
    </row>
    <row r="38" spans="1:34" ht="13.8" thickBot="1" x14ac:dyDescent="0.3">
      <c r="A38" s="41">
        <v>3</v>
      </c>
      <c r="B38" s="54" t="s">
        <v>94</v>
      </c>
      <c r="C38" s="30">
        <f>COUNTIFS('AT. MEDICAS 2024'!$A$9:$A$874,"01/02/2025",'AT. MEDICAS 2024'!$I$9:$I$874,B38)</f>
        <v>0</v>
      </c>
      <c r="D38" s="30">
        <f>COUNTIFS('AT. MEDICAS 2024'!$A$9:$A$874,"02/02/2025",'AT. MEDICAS 2024'!$I$9:$I$874,B38)</f>
        <v>0</v>
      </c>
      <c r="E38" s="30">
        <f>COUNTIFS('AT. MEDICAS 2024'!$A$9:$A$874,"03/02/2025",'AT. MEDICAS 2024'!$I$9:$I$874,B38)</f>
        <v>0</v>
      </c>
      <c r="F38" s="30">
        <f>COUNTIFS('AT. MEDICAS 2024'!$A$9:$A$874,"04/02/2025",'AT. MEDICAS 2024'!$I$9:$I$874,B38)</f>
        <v>0</v>
      </c>
      <c r="G38" s="30">
        <f>COUNTIFS('AT. MEDICAS 2024'!$A$9:$A$874,"05/02/2025",'AT. MEDICAS 2024'!$I$9:$I$874,B38)</f>
        <v>0</v>
      </c>
      <c r="H38" s="30">
        <f>COUNTIFS('AT. MEDICAS 2024'!$A$9:$A$874,"06/02/2025",'AT. MEDICAS 2024'!$I$9:$I$874,B38)</f>
        <v>0</v>
      </c>
      <c r="I38" s="30">
        <f>COUNTIFS('AT. MEDICAS 2024'!$A$9:$A$874,"07/02/2025",'AT. MEDICAS 2024'!$I$9:$I$874,B38)</f>
        <v>0</v>
      </c>
      <c r="J38" s="30">
        <f>COUNTIFS('AT. MEDICAS 2024'!$A$9:$A$874,"08/02/2025",'AT. MEDICAS 2024'!$I$9:$I$874,B38)</f>
        <v>0</v>
      </c>
      <c r="K38" s="30">
        <f>COUNTIFS('AT. MEDICAS 2024'!$A$9:$A$874,"09/02/2025",'AT. MEDICAS 2024'!$I$9:$I$874,B38)</f>
        <v>0</v>
      </c>
      <c r="L38" s="30">
        <f>COUNTIFS('AT. MEDICAS 2024'!$A$9:$A$874,"10/02/2025",'AT. MEDICAS 2024'!$I$9:$I$874,B38)</f>
        <v>0</v>
      </c>
      <c r="M38" s="30">
        <f>COUNTIFS('AT. MEDICAS 2024'!$A$9:$A$874,"11/02/2025",'AT. MEDICAS 2024'!$I$9:$I$874,B38)</f>
        <v>0</v>
      </c>
      <c r="N38" s="30">
        <f>COUNTIFS('AT. MEDICAS 2024'!$A$9:$A$874,"12/02/2025",'AT. MEDICAS 2024'!$I$9:$I$874,B38)</f>
        <v>0</v>
      </c>
      <c r="O38" s="30">
        <f>COUNTIFS('AT. MEDICAS 2024'!$A$9:$A$874,"13/02/2025",'AT. MEDICAS 2024'!$I$9:$I$874,B38)</f>
        <v>0</v>
      </c>
      <c r="P38" s="30">
        <f>COUNTIFS('AT. MEDICAS 2024'!$A$9:$A$874,"14/02/2025",'AT. MEDICAS 2024'!$I$9:$I$874,B38)</f>
        <v>0</v>
      </c>
      <c r="Q38" s="30">
        <f>COUNTIFS('AT. MEDICAS 2024'!$A$9:$A$874,"15/02/2025",'AT. MEDICAS 2024'!$I$9:$I$874,B38)</f>
        <v>0</v>
      </c>
      <c r="R38" s="30">
        <f>COUNTIFS('AT. MEDICAS 2024'!$A$9:$A$874,"16/02/2025",'AT. MEDICAS 2024'!$I$9:$I$874,B38)</f>
        <v>0</v>
      </c>
      <c r="S38" s="30">
        <f>COUNTIFS('AT. MEDICAS 2024'!$A$9:$A$874,"17/02/2025",'AT. MEDICAS 2024'!$I$9:$I$874,B38)</f>
        <v>0</v>
      </c>
      <c r="T38" s="30">
        <f>COUNTIFS('AT. MEDICAS 2024'!$A$9:$A$874,"18/02/2025",'AT. MEDICAS 2024'!$I$9:$I$874,B38)</f>
        <v>0</v>
      </c>
      <c r="U38" s="30">
        <f>COUNTIFS('AT. MEDICAS 2024'!$A$9:$A$874,"19/02/2025",'AT. MEDICAS 2024'!$I$9:$I$874,B38)</f>
        <v>0</v>
      </c>
      <c r="V38" s="30">
        <f>COUNTIFS('AT. MEDICAS 2024'!$A$9:$A$874,"20/02/2025",'AT. MEDICAS 2024'!$I$9:$I$874,B38)</f>
        <v>0</v>
      </c>
      <c r="W38" s="30">
        <f>COUNTIFS('AT. MEDICAS 2024'!$A$9:$A$874,"21/02/2025",'AT. MEDICAS 2024'!$I$9:$I$874,B38)</f>
        <v>0</v>
      </c>
      <c r="X38" s="30">
        <f>COUNTIFS('AT. MEDICAS 2024'!$A$9:$A$874,"22/02/2025",'AT. MEDICAS 2024'!$I$9:$I$874,B38)</f>
        <v>0</v>
      </c>
      <c r="Y38" s="30">
        <f>COUNTIFS('AT. MEDICAS 2024'!$A$9:$A$874,"23/02/2025",'AT. MEDICAS 2024'!$I$9:$I$874,B38)</f>
        <v>0</v>
      </c>
      <c r="Z38" s="30">
        <f>COUNTIFS('AT. MEDICAS 2024'!$A$9:$A$874,"24/02/2025",'AT. MEDICAS 2024'!$I$9:$I$874,B38)</f>
        <v>0</v>
      </c>
      <c r="AA38" s="30">
        <f>COUNTIFS('AT. MEDICAS 2024'!$A$9:$A$874,"25/02/2025",'AT. MEDICAS 2024'!$I$9:$I$874,B38)</f>
        <v>0</v>
      </c>
      <c r="AB38" s="30">
        <f>COUNTIFS('AT. MEDICAS 2024'!$A$9:$A$874,"26/02/2025",'AT. MEDICAS 2024'!$I$9:$I$874,B38)</f>
        <v>0</v>
      </c>
      <c r="AC38" s="30">
        <f>COUNTIFS('AT. MEDICAS 2024'!$A$9:$A$874,"27/02/2025",'AT. MEDICAS 2024'!$I$9:$I$874,B38)</f>
        <v>0</v>
      </c>
      <c r="AD38" s="30">
        <f>COUNTIFS('AT. MEDICAS 2024'!$A$9:$A$874,"28/02/2025",'AT. MEDICAS 2024'!$I$9:$I$874,B38)</f>
        <v>0</v>
      </c>
      <c r="AE38" s="30"/>
      <c r="AF38" s="30"/>
      <c r="AG38" s="30"/>
      <c r="AH38" s="55">
        <f t="shared" si="13"/>
        <v>0</v>
      </c>
    </row>
    <row r="39" spans="1:34" ht="13.8" thickBot="1" x14ac:dyDescent="0.3">
      <c r="A39" s="41">
        <v>4</v>
      </c>
      <c r="B39" s="54" t="s">
        <v>50</v>
      </c>
      <c r="C39" s="30">
        <f>COUNTIFS('AT. MEDICAS 2024'!$A$9:$A$874,"01/02/2025",'AT. MEDICAS 2024'!$I$9:$I$874,B39)</f>
        <v>0</v>
      </c>
      <c r="D39" s="30">
        <f>COUNTIFS('AT. MEDICAS 2024'!$A$9:$A$874,"02/02/2025",'AT. MEDICAS 2024'!$I$9:$I$874,B39)</f>
        <v>0</v>
      </c>
      <c r="E39" s="30">
        <f>COUNTIFS('AT. MEDICAS 2024'!$A$9:$A$874,"03/02/2025",'AT. MEDICAS 2024'!$I$9:$I$874,B39)</f>
        <v>0</v>
      </c>
      <c r="F39" s="30">
        <f>COUNTIFS('AT. MEDICAS 2024'!$A$9:$A$874,"04/02/2025",'AT. MEDICAS 2024'!$I$9:$I$874,B39)</f>
        <v>0</v>
      </c>
      <c r="G39" s="30">
        <f>COUNTIFS('AT. MEDICAS 2024'!$A$9:$A$874,"05/02/2025",'AT. MEDICAS 2024'!$I$9:$I$874,B39)</f>
        <v>0</v>
      </c>
      <c r="H39" s="30">
        <f>COUNTIFS('AT. MEDICAS 2024'!$A$9:$A$874,"06/02/2025",'AT. MEDICAS 2024'!$I$9:$I$874,B39)</f>
        <v>0</v>
      </c>
      <c r="I39" s="30">
        <f>COUNTIFS('AT. MEDICAS 2024'!$A$9:$A$874,"07/02/2025",'AT. MEDICAS 2024'!$I$9:$I$874,B39)</f>
        <v>0</v>
      </c>
      <c r="J39" s="30">
        <f>COUNTIFS('AT. MEDICAS 2024'!$A$9:$A$874,"08/02/2025",'AT. MEDICAS 2024'!$I$9:$I$874,B39)</f>
        <v>0</v>
      </c>
      <c r="K39" s="30">
        <f>COUNTIFS('AT. MEDICAS 2024'!$A$9:$A$874,"09/02/2025",'AT. MEDICAS 2024'!$I$9:$I$874,B39)</f>
        <v>0</v>
      </c>
      <c r="L39" s="30">
        <f>COUNTIFS('AT. MEDICAS 2024'!$A$9:$A$874,"10/02/2025",'AT. MEDICAS 2024'!$I$9:$I$874,B39)</f>
        <v>0</v>
      </c>
      <c r="M39" s="30">
        <f>COUNTIFS('AT. MEDICAS 2024'!$A$9:$A$874,"11/02/2025",'AT. MEDICAS 2024'!$I$9:$I$874,B39)</f>
        <v>0</v>
      </c>
      <c r="N39" s="30">
        <f>COUNTIFS('AT. MEDICAS 2024'!$A$9:$A$874,"12/02/2025",'AT. MEDICAS 2024'!$I$9:$I$874,B39)</f>
        <v>0</v>
      </c>
      <c r="O39" s="30">
        <f>COUNTIFS('AT. MEDICAS 2024'!$A$9:$A$874,"13/02/2025",'AT. MEDICAS 2024'!$I$9:$I$874,B39)</f>
        <v>0</v>
      </c>
      <c r="P39" s="30">
        <f>COUNTIFS('AT. MEDICAS 2024'!$A$9:$A$874,"14/02/2025",'AT. MEDICAS 2024'!$I$9:$I$874,B39)</f>
        <v>0</v>
      </c>
      <c r="Q39" s="30">
        <f>COUNTIFS('AT. MEDICAS 2024'!$A$9:$A$874,"15/02/2025",'AT. MEDICAS 2024'!$I$9:$I$874,B39)</f>
        <v>0</v>
      </c>
      <c r="R39" s="30">
        <f>COUNTIFS('AT. MEDICAS 2024'!$A$9:$A$874,"16/02/2025",'AT. MEDICAS 2024'!$I$9:$I$874,B39)</f>
        <v>0</v>
      </c>
      <c r="S39" s="30">
        <f>COUNTIFS('AT. MEDICAS 2024'!$A$9:$A$874,"17/02/2025",'AT. MEDICAS 2024'!$I$9:$I$874,B39)</f>
        <v>0</v>
      </c>
      <c r="T39" s="30">
        <f>COUNTIFS('AT. MEDICAS 2024'!$A$9:$A$874,"18/02/2025",'AT. MEDICAS 2024'!$I$9:$I$874,B39)</f>
        <v>0</v>
      </c>
      <c r="U39" s="30">
        <f>COUNTIFS('AT. MEDICAS 2024'!$A$9:$A$874,"19/02/2025",'AT. MEDICAS 2024'!$I$9:$I$874,B39)</f>
        <v>0</v>
      </c>
      <c r="V39" s="30">
        <f>COUNTIFS('AT. MEDICAS 2024'!$A$9:$A$874,"20/02/2025",'AT. MEDICAS 2024'!$I$9:$I$874,B39)</f>
        <v>0</v>
      </c>
      <c r="W39" s="30">
        <f>COUNTIFS('AT. MEDICAS 2024'!$A$9:$A$874,"21/02/2025",'AT. MEDICAS 2024'!$I$9:$I$874,B39)</f>
        <v>0</v>
      </c>
      <c r="X39" s="30">
        <f>COUNTIFS('AT. MEDICAS 2024'!$A$9:$A$874,"22/02/2025",'AT. MEDICAS 2024'!$I$9:$I$874,B39)</f>
        <v>0</v>
      </c>
      <c r="Y39" s="30">
        <f>COUNTIFS('AT. MEDICAS 2024'!$A$9:$A$874,"23/02/2025",'AT. MEDICAS 2024'!$I$9:$I$874,B39)</f>
        <v>0</v>
      </c>
      <c r="Z39" s="30">
        <f>COUNTIFS('AT. MEDICAS 2024'!$A$9:$A$874,"24/02/2025",'AT. MEDICAS 2024'!$I$9:$I$874,B39)</f>
        <v>0</v>
      </c>
      <c r="AA39" s="30">
        <f>COUNTIFS('AT. MEDICAS 2024'!$A$9:$A$874,"25/02/2025",'AT. MEDICAS 2024'!$I$9:$I$874,B39)</f>
        <v>0</v>
      </c>
      <c r="AB39" s="30">
        <f>COUNTIFS('AT. MEDICAS 2024'!$A$9:$A$874,"26/02/2025",'AT. MEDICAS 2024'!$I$9:$I$874,B39)</f>
        <v>0</v>
      </c>
      <c r="AC39" s="30">
        <f>COUNTIFS('AT. MEDICAS 2024'!$A$9:$A$874,"27/02/2025",'AT. MEDICAS 2024'!$I$9:$I$874,B39)</f>
        <v>0</v>
      </c>
      <c r="AD39" s="30">
        <f>COUNTIFS('AT. MEDICAS 2024'!$A$9:$A$874,"28/02/2025",'AT. MEDICAS 2024'!$I$9:$I$874,B39)</f>
        <v>0</v>
      </c>
      <c r="AE39" s="30"/>
      <c r="AF39" s="30"/>
      <c r="AG39" s="30"/>
      <c r="AH39" s="55">
        <f t="shared" si="13"/>
        <v>0</v>
      </c>
    </row>
    <row r="40" spans="1:34" ht="13.8" thickBot="1" x14ac:dyDescent="0.3">
      <c r="A40" s="41">
        <v>5</v>
      </c>
      <c r="B40" s="54" t="s">
        <v>187</v>
      </c>
      <c r="C40" s="30">
        <f>COUNTIFS('AT. MEDICAS 2024'!$A$9:$A$874,"01/02/2025",'AT. MEDICAS 2024'!$I$9:$I$874,B40)</f>
        <v>0</v>
      </c>
      <c r="D40" s="30">
        <f>COUNTIFS('AT. MEDICAS 2024'!$A$9:$A$874,"02/02/2025",'AT. MEDICAS 2024'!$I$9:$I$874,B40)</f>
        <v>0</v>
      </c>
      <c r="E40" s="30">
        <f>COUNTIFS('AT. MEDICAS 2024'!$A$9:$A$874,"03/02/2025",'AT. MEDICAS 2024'!$I$9:$I$874,B40)</f>
        <v>0</v>
      </c>
      <c r="F40" s="30">
        <f>COUNTIFS('AT. MEDICAS 2024'!$A$9:$A$874,"04/02/2025",'AT. MEDICAS 2024'!$I$9:$I$874,B40)</f>
        <v>0</v>
      </c>
      <c r="G40" s="30">
        <f>COUNTIFS('AT. MEDICAS 2024'!$A$9:$A$874,"05/02/2025",'AT. MEDICAS 2024'!$I$9:$I$874,B40)</f>
        <v>0</v>
      </c>
      <c r="H40" s="30">
        <f>COUNTIFS('AT. MEDICAS 2024'!$A$9:$A$874,"06/02/2025",'AT. MEDICAS 2024'!$I$9:$I$874,B40)</f>
        <v>0</v>
      </c>
      <c r="I40" s="30">
        <f>COUNTIFS('AT. MEDICAS 2024'!$A$9:$A$874,"07/02/2025",'AT. MEDICAS 2024'!$I$9:$I$874,B40)</f>
        <v>0</v>
      </c>
      <c r="J40" s="30">
        <f>COUNTIFS('AT. MEDICAS 2024'!$A$9:$A$874,"08/02/2025",'AT. MEDICAS 2024'!$I$9:$I$874,B40)</f>
        <v>0</v>
      </c>
      <c r="K40" s="30">
        <f>COUNTIFS('AT. MEDICAS 2024'!$A$9:$A$874,"09/02/2025",'AT. MEDICAS 2024'!$I$9:$I$874,B40)</f>
        <v>0</v>
      </c>
      <c r="L40" s="30">
        <f>COUNTIFS('AT. MEDICAS 2024'!$A$9:$A$874,"10/02/2025",'AT. MEDICAS 2024'!$I$9:$I$874,B40)</f>
        <v>0</v>
      </c>
      <c r="M40" s="30">
        <f>COUNTIFS('AT. MEDICAS 2024'!$A$9:$A$874,"11/02/2025",'AT. MEDICAS 2024'!$I$9:$I$874,B40)</f>
        <v>0</v>
      </c>
      <c r="N40" s="30">
        <f>COUNTIFS('AT. MEDICAS 2024'!$A$9:$A$874,"12/02/2025",'AT. MEDICAS 2024'!$I$9:$I$874,B40)</f>
        <v>0</v>
      </c>
      <c r="O40" s="30">
        <f>COUNTIFS('AT. MEDICAS 2024'!$A$9:$A$874,"13/02/2025",'AT. MEDICAS 2024'!$I$9:$I$874,B40)</f>
        <v>0</v>
      </c>
      <c r="P40" s="30">
        <f>COUNTIFS('AT. MEDICAS 2024'!$A$9:$A$874,"14/02/2025",'AT. MEDICAS 2024'!$I$9:$I$874,B40)</f>
        <v>0</v>
      </c>
      <c r="Q40" s="30">
        <f>COUNTIFS('AT. MEDICAS 2024'!$A$9:$A$874,"15/02/2025",'AT. MEDICAS 2024'!$I$9:$I$874,B40)</f>
        <v>0</v>
      </c>
      <c r="R40" s="30">
        <f>COUNTIFS('AT. MEDICAS 2024'!$A$9:$A$874,"16/02/2025",'AT. MEDICAS 2024'!$I$9:$I$874,B40)</f>
        <v>0</v>
      </c>
      <c r="S40" s="30">
        <f>COUNTIFS('AT. MEDICAS 2024'!$A$9:$A$874,"17/02/2025",'AT. MEDICAS 2024'!$I$9:$I$874,B40)</f>
        <v>0</v>
      </c>
      <c r="T40" s="30">
        <f>COUNTIFS('AT. MEDICAS 2024'!$A$9:$A$874,"18/02/2025",'AT. MEDICAS 2024'!$I$9:$I$874,B40)</f>
        <v>0</v>
      </c>
      <c r="U40" s="30">
        <f>COUNTIFS('AT. MEDICAS 2024'!$A$9:$A$874,"19/02/2025",'AT. MEDICAS 2024'!$I$9:$I$874,B40)</f>
        <v>0</v>
      </c>
      <c r="V40" s="30">
        <f>COUNTIFS('AT. MEDICAS 2024'!$A$9:$A$874,"20/02/2025",'AT. MEDICAS 2024'!$I$9:$I$874,B40)</f>
        <v>0</v>
      </c>
      <c r="W40" s="30">
        <f>COUNTIFS('AT. MEDICAS 2024'!$A$9:$A$874,"21/02/2025",'AT. MEDICAS 2024'!$I$9:$I$874,B40)</f>
        <v>0</v>
      </c>
      <c r="X40" s="30">
        <f>COUNTIFS('AT. MEDICAS 2024'!$A$9:$A$874,"22/02/2025",'AT. MEDICAS 2024'!$I$9:$I$874,B40)</f>
        <v>0</v>
      </c>
      <c r="Y40" s="30">
        <f>COUNTIFS('AT. MEDICAS 2024'!$A$9:$A$874,"23/02/2025",'AT. MEDICAS 2024'!$I$9:$I$874,B40)</f>
        <v>0</v>
      </c>
      <c r="Z40" s="30">
        <f>COUNTIFS('AT. MEDICAS 2024'!$A$9:$A$874,"24/02/2025",'AT. MEDICAS 2024'!$I$9:$I$874,B40)</f>
        <v>0</v>
      </c>
      <c r="AA40" s="30">
        <f>COUNTIFS('AT. MEDICAS 2024'!$A$9:$A$874,"25/02/2025",'AT. MEDICAS 2024'!$I$9:$I$874,B40)</f>
        <v>0</v>
      </c>
      <c r="AB40" s="30">
        <f>COUNTIFS('AT. MEDICAS 2024'!$A$9:$A$874,"26/02/2025",'AT. MEDICAS 2024'!$I$9:$I$874,B40)</f>
        <v>0</v>
      </c>
      <c r="AC40" s="30">
        <f>COUNTIFS('AT. MEDICAS 2024'!$A$9:$A$874,"27/02/2025",'AT. MEDICAS 2024'!$I$9:$I$874,B40)</f>
        <v>0</v>
      </c>
      <c r="AD40" s="30">
        <f>COUNTIFS('AT. MEDICAS 2024'!$A$9:$A$874,"28/02/2025",'AT. MEDICAS 2024'!$I$9:$I$874,B40)</f>
        <v>0</v>
      </c>
      <c r="AE40" s="30"/>
      <c r="AF40" s="30"/>
      <c r="AG40" s="30"/>
      <c r="AH40" s="55">
        <f t="shared" si="13"/>
        <v>0</v>
      </c>
    </row>
    <row r="41" spans="1:34" ht="13.8" thickBot="1" x14ac:dyDescent="0.3">
      <c r="A41" s="41">
        <v>6</v>
      </c>
      <c r="B41" s="54" t="s">
        <v>46</v>
      </c>
      <c r="C41" s="30">
        <f>COUNTIFS('AT. MEDICAS 2024'!$A$9:$A$874,"01/02/2025",'AT. MEDICAS 2024'!$I$9:$I$874,B41)</f>
        <v>0</v>
      </c>
      <c r="D41" s="30">
        <f>COUNTIFS('AT. MEDICAS 2024'!$A$9:$A$874,"02/02/2025",'AT. MEDICAS 2024'!$I$9:$I$874,B41)</f>
        <v>0</v>
      </c>
      <c r="E41" s="30">
        <f>COUNTIFS('AT. MEDICAS 2024'!$A$9:$A$874,"03/02/2025",'AT. MEDICAS 2024'!$I$9:$I$874,B41)</f>
        <v>0</v>
      </c>
      <c r="F41" s="30">
        <f>COUNTIFS('AT. MEDICAS 2024'!$A$9:$A$874,"04/02/2025",'AT. MEDICAS 2024'!$I$9:$I$874,B41)</f>
        <v>0</v>
      </c>
      <c r="G41" s="30">
        <f>COUNTIFS('AT. MEDICAS 2024'!$A$9:$A$874,"05/02/2025",'AT. MEDICAS 2024'!$I$9:$I$874,B41)</f>
        <v>0</v>
      </c>
      <c r="H41" s="30">
        <f>COUNTIFS('AT. MEDICAS 2024'!$A$9:$A$874,"06/02/2025",'AT. MEDICAS 2024'!$I$9:$I$874,B41)</f>
        <v>0</v>
      </c>
      <c r="I41" s="30">
        <f>COUNTIFS('AT. MEDICAS 2024'!$A$9:$A$874,"07/02/2025",'AT. MEDICAS 2024'!$I$9:$I$874,B41)</f>
        <v>0</v>
      </c>
      <c r="J41" s="30">
        <f>COUNTIFS('AT. MEDICAS 2024'!$A$9:$A$874,"08/02/2025",'AT. MEDICAS 2024'!$I$9:$I$874,B41)</f>
        <v>0</v>
      </c>
      <c r="K41" s="30">
        <f>COUNTIFS('AT. MEDICAS 2024'!$A$9:$A$874,"09/02/2025",'AT. MEDICAS 2024'!$I$9:$I$874,B41)</f>
        <v>0</v>
      </c>
      <c r="L41" s="30">
        <f>COUNTIFS('AT. MEDICAS 2024'!$A$9:$A$874,"10/02/2025",'AT. MEDICAS 2024'!$I$9:$I$874,B41)</f>
        <v>0</v>
      </c>
      <c r="M41" s="30">
        <f>COUNTIFS('AT. MEDICAS 2024'!$A$9:$A$874,"11/02/2025",'AT. MEDICAS 2024'!$I$9:$I$874,B41)</f>
        <v>0</v>
      </c>
      <c r="N41" s="30">
        <f>COUNTIFS('AT. MEDICAS 2024'!$A$9:$A$874,"12/02/2025",'AT. MEDICAS 2024'!$I$9:$I$874,B41)</f>
        <v>0</v>
      </c>
      <c r="O41" s="30">
        <f>COUNTIFS('AT. MEDICAS 2024'!$A$9:$A$874,"13/02/2025",'AT. MEDICAS 2024'!$I$9:$I$874,B41)</f>
        <v>0</v>
      </c>
      <c r="P41" s="30">
        <f>COUNTIFS('AT. MEDICAS 2024'!$A$9:$A$874,"14/02/2025",'AT. MEDICAS 2024'!$I$9:$I$874,B41)</f>
        <v>0</v>
      </c>
      <c r="Q41" s="30">
        <f>COUNTIFS('AT. MEDICAS 2024'!$A$9:$A$874,"15/02/2025",'AT. MEDICAS 2024'!$I$9:$I$874,B41)</f>
        <v>0</v>
      </c>
      <c r="R41" s="30">
        <f>COUNTIFS('AT. MEDICAS 2024'!$A$9:$A$874,"16/02/2025",'AT. MEDICAS 2024'!$I$9:$I$874,B41)</f>
        <v>0</v>
      </c>
      <c r="S41" s="30">
        <f>COUNTIFS('AT. MEDICAS 2024'!$A$9:$A$874,"17/02/2025",'AT. MEDICAS 2024'!$I$9:$I$874,B41)</f>
        <v>0</v>
      </c>
      <c r="T41" s="30">
        <f>COUNTIFS('AT. MEDICAS 2024'!$A$9:$A$874,"18/02/2025",'AT. MEDICAS 2024'!$I$9:$I$874,B41)</f>
        <v>0</v>
      </c>
      <c r="U41" s="30">
        <f>COUNTIFS('AT. MEDICAS 2024'!$A$9:$A$874,"19/02/2025",'AT. MEDICAS 2024'!$I$9:$I$874,B41)</f>
        <v>0</v>
      </c>
      <c r="V41" s="30">
        <f>COUNTIFS('AT. MEDICAS 2024'!$A$9:$A$874,"20/02/2025",'AT. MEDICAS 2024'!$I$9:$I$874,B41)</f>
        <v>0</v>
      </c>
      <c r="W41" s="30">
        <f>COUNTIFS('AT. MEDICAS 2024'!$A$9:$A$874,"21/02/2025",'AT. MEDICAS 2024'!$I$9:$I$874,B41)</f>
        <v>0</v>
      </c>
      <c r="X41" s="30">
        <f>COUNTIFS('AT. MEDICAS 2024'!$A$9:$A$874,"22/02/2025",'AT. MEDICAS 2024'!$I$9:$I$874,B41)</f>
        <v>0</v>
      </c>
      <c r="Y41" s="30">
        <f>COUNTIFS('AT. MEDICAS 2024'!$A$9:$A$874,"23/02/2025",'AT. MEDICAS 2024'!$I$9:$I$874,B41)</f>
        <v>0</v>
      </c>
      <c r="Z41" s="30">
        <f>COUNTIFS('AT. MEDICAS 2024'!$A$9:$A$874,"24/02/2025",'AT. MEDICAS 2024'!$I$9:$I$874,B41)</f>
        <v>0</v>
      </c>
      <c r="AA41" s="30">
        <f>COUNTIFS('AT. MEDICAS 2024'!$A$9:$A$874,"25/02/2025",'AT. MEDICAS 2024'!$I$9:$I$874,B41)</f>
        <v>0</v>
      </c>
      <c r="AB41" s="30">
        <f>COUNTIFS('AT. MEDICAS 2024'!$A$9:$A$874,"26/02/2025",'AT. MEDICAS 2024'!$I$9:$I$874,B41)</f>
        <v>0</v>
      </c>
      <c r="AC41" s="30">
        <f>COUNTIFS('AT. MEDICAS 2024'!$A$9:$A$874,"27/02/2025",'AT. MEDICAS 2024'!$I$9:$I$874,B41)</f>
        <v>0</v>
      </c>
      <c r="AD41" s="30">
        <f>COUNTIFS('AT. MEDICAS 2024'!$A$9:$A$874,"28/02/2025",'AT. MEDICAS 2024'!$I$9:$I$874,B41)</f>
        <v>0</v>
      </c>
      <c r="AE41" s="30"/>
      <c r="AF41" s="30"/>
      <c r="AG41" s="30"/>
      <c r="AH41" s="55">
        <f t="shared" si="13"/>
        <v>0</v>
      </c>
    </row>
    <row r="42" spans="1:34" ht="13.8" thickBot="1" x14ac:dyDescent="0.3">
      <c r="A42" s="41">
        <v>7</v>
      </c>
      <c r="B42" s="54" t="s">
        <v>36</v>
      </c>
      <c r="C42" s="30">
        <f>COUNTIFS('AT. MEDICAS 2024'!$A$9:$A$874,"01/02/2025",'AT. MEDICAS 2024'!$I$9:$I$874,B42)</f>
        <v>0</v>
      </c>
      <c r="D42" s="30">
        <f>COUNTIFS('AT. MEDICAS 2024'!$A$9:$A$874,"02/02/2025",'AT. MEDICAS 2024'!$I$9:$I$874,B42)</f>
        <v>0</v>
      </c>
      <c r="E42" s="30">
        <f>COUNTIFS('AT. MEDICAS 2024'!$A$9:$A$874,"03/02/2025",'AT. MEDICAS 2024'!$I$9:$I$874,B42)</f>
        <v>0</v>
      </c>
      <c r="F42" s="30">
        <f>COUNTIFS('AT. MEDICAS 2024'!$A$9:$A$874,"04/02/2025",'AT. MEDICAS 2024'!$I$9:$I$874,B42)</f>
        <v>0</v>
      </c>
      <c r="G42" s="30">
        <f>COUNTIFS('AT. MEDICAS 2024'!$A$9:$A$874,"05/02/2025",'AT. MEDICAS 2024'!$I$9:$I$874,B42)</f>
        <v>0</v>
      </c>
      <c r="H42" s="30">
        <f>COUNTIFS('AT. MEDICAS 2024'!$A$9:$A$874,"06/02/2025",'AT. MEDICAS 2024'!$I$9:$I$874,B42)</f>
        <v>0</v>
      </c>
      <c r="I42" s="30">
        <f>COUNTIFS('AT. MEDICAS 2024'!$A$9:$A$874,"07/02/2025",'AT. MEDICAS 2024'!$I$9:$I$874,B42)</f>
        <v>0</v>
      </c>
      <c r="J42" s="30">
        <f>COUNTIFS('AT. MEDICAS 2024'!$A$9:$A$874,"08/02/2025",'AT. MEDICAS 2024'!$I$9:$I$874,B42)</f>
        <v>0</v>
      </c>
      <c r="K42" s="30">
        <f>COUNTIFS('AT. MEDICAS 2024'!$A$9:$A$874,"09/02/2025",'AT. MEDICAS 2024'!$I$9:$I$874,B42)</f>
        <v>0</v>
      </c>
      <c r="L42" s="30">
        <f>COUNTIFS('AT. MEDICAS 2024'!$A$9:$A$874,"10/02/2025",'AT. MEDICAS 2024'!$I$9:$I$874,B42)</f>
        <v>0</v>
      </c>
      <c r="M42" s="30">
        <f>COUNTIFS('AT. MEDICAS 2024'!$A$9:$A$874,"11/02/2025",'AT. MEDICAS 2024'!$I$9:$I$874,B42)</f>
        <v>0</v>
      </c>
      <c r="N42" s="30">
        <f>COUNTIFS('AT. MEDICAS 2024'!$A$9:$A$874,"12/02/2025",'AT. MEDICAS 2024'!$I$9:$I$874,B42)</f>
        <v>0</v>
      </c>
      <c r="O42" s="30">
        <f>COUNTIFS('AT. MEDICAS 2024'!$A$9:$A$874,"13/02/2025",'AT. MEDICAS 2024'!$I$9:$I$874,B42)</f>
        <v>0</v>
      </c>
      <c r="P42" s="30">
        <f>COUNTIFS('AT. MEDICAS 2024'!$A$9:$A$874,"14/02/2025",'AT. MEDICAS 2024'!$I$9:$I$874,B42)</f>
        <v>0</v>
      </c>
      <c r="Q42" s="30">
        <f>COUNTIFS('AT. MEDICAS 2024'!$A$9:$A$874,"15/02/2025",'AT. MEDICAS 2024'!$I$9:$I$874,B42)</f>
        <v>0</v>
      </c>
      <c r="R42" s="30">
        <f>COUNTIFS('AT. MEDICAS 2024'!$A$9:$A$874,"16/02/2025",'AT. MEDICAS 2024'!$I$9:$I$874,B42)</f>
        <v>0</v>
      </c>
      <c r="S42" s="30">
        <f>COUNTIFS('AT. MEDICAS 2024'!$A$9:$A$874,"17/02/2025",'AT. MEDICAS 2024'!$I$9:$I$874,B42)</f>
        <v>0</v>
      </c>
      <c r="T42" s="30">
        <f>COUNTIFS('AT. MEDICAS 2024'!$A$9:$A$874,"18/02/2025",'AT. MEDICAS 2024'!$I$9:$I$874,B42)</f>
        <v>0</v>
      </c>
      <c r="U42" s="30">
        <f>COUNTIFS('AT. MEDICAS 2024'!$A$9:$A$874,"19/02/2025",'AT. MEDICAS 2024'!$I$9:$I$874,B42)</f>
        <v>0</v>
      </c>
      <c r="V42" s="30">
        <f>COUNTIFS('AT. MEDICAS 2024'!$A$9:$A$874,"20/02/2025",'AT. MEDICAS 2024'!$I$9:$I$874,B42)</f>
        <v>0</v>
      </c>
      <c r="W42" s="30">
        <f>COUNTIFS('AT. MEDICAS 2024'!$A$9:$A$874,"21/02/2025",'AT. MEDICAS 2024'!$I$9:$I$874,B42)</f>
        <v>0</v>
      </c>
      <c r="X42" s="30">
        <f>COUNTIFS('AT. MEDICAS 2024'!$A$9:$A$874,"22/02/2025",'AT. MEDICAS 2024'!$I$9:$I$874,B42)</f>
        <v>0</v>
      </c>
      <c r="Y42" s="30">
        <f>COUNTIFS('AT. MEDICAS 2024'!$A$9:$A$874,"23/02/2025",'AT. MEDICAS 2024'!$I$9:$I$874,B42)</f>
        <v>0</v>
      </c>
      <c r="Z42" s="30">
        <f>COUNTIFS('AT. MEDICAS 2024'!$A$9:$A$874,"24/02/2025",'AT. MEDICAS 2024'!$I$9:$I$874,B42)</f>
        <v>0</v>
      </c>
      <c r="AA42" s="30">
        <f>COUNTIFS('AT. MEDICAS 2024'!$A$9:$A$874,"25/02/2025",'AT. MEDICAS 2024'!$I$9:$I$874,B42)</f>
        <v>0</v>
      </c>
      <c r="AB42" s="30">
        <f>COUNTIFS('AT. MEDICAS 2024'!$A$9:$A$874,"26/02/2025",'AT. MEDICAS 2024'!$I$9:$I$874,B42)</f>
        <v>0</v>
      </c>
      <c r="AC42" s="30">
        <f>COUNTIFS('AT. MEDICAS 2024'!$A$9:$A$874,"27/02/2025",'AT. MEDICAS 2024'!$I$9:$I$874,B42)</f>
        <v>0</v>
      </c>
      <c r="AD42" s="30">
        <f>COUNTIFS('AT. MEDICAS 2024'!$A$9:$A$874,"28/02/2025",'AT. MEDICAS 2024'!$I$9:$I$874,B42)</f>
        <v>0</v>
      </c>
      <c r="AE42" s="30"/>
      <c r="AF42" s="30"/>
      <c r="AG42" s="30"/>
      <c r="AH42" s="55">
        <f t="shared" si="13"/>
        <v>0</v>
      </c>
    </row>
    <row r="43" spans="1:34" ht="13.8" thickBot="1" x14ac:dyDescent="0.3">
      <c r="A43" s="41">
        <v>8</v>
      </c>
      <c r="B43" s="54" t="s">
        <v>92</v>
      </c>
      <c r="C43" s="30">
        <f>COUNTIFS('AT. MEDICAS 2024'!$A$9:$A$874,"01/02/2025",'AT. MEDICAS 2024'!$I$9:$I$874,B43)</f>
        <v>0</v>
      </c>
      <c r="D43" s="30">
        <f>COUNTIFS('AT. MEDICAS 2024'!$A$9:$A$874,"02/02/2025",'AT. MEDICAS 2024'!$I$9:$I$874,B43)</f>
        <v>0</v>
      </c>
      <c r="E43" s="30">
        <f>COUNTIFS('AT. MEDICAS 2024'!$A$9:$A$874,"03/02/2025",'AT. MEDICAS 2024'!$I$9:$I$874,B43)</f>
        <v>0</v>
      </c>
      <c r="F43" s="30">
        <f>COUNTIFS('AT. MEDICAS 2024'!$A$9:$A$874,"04/02/2025",'AT. MEDICAS 2024'!$I$9:$I$874,B43)</f>
        <v>0</v>
      </c>
      <c r="G43" s="30">
        <f>COUNTIFS('AT. MEDICAS 2024'!$A$9:$A$874,"05/02/2025",'AT. MEDICAS 2024'!$I$9:$I$874,B43)</f>
        <v>0</v>
      </c>
      <c r="H43" s="30">
        <f>COUNTIFS('AT. MEDICAS 2024'!$A$9:$A$874,"06/02/2025",'AT. MEDICAS 2024'!$I$9:$I$874,B43)</f>
        <v>0</v>
      </c>
      <c r="I43" s="30">
        <f>COUNTIFS('AT. MEDICAS 2024'!$A$9:$A$874,"07/02/2025",'AT. MEDICAS 2024'!$I$9:$I$874,B43)</f>
        <v>0</v>
      </c>
      <c r="J43" s="30">
        <f>COUNTIFS('AT. MEDICAS 2024'!$A$9:$A$874,"08/02/2025",'AT. MEDICAS 2024'!$I$9:$I$874,B43)</f>
        <v>0</v>
      </c>
      <c r="K43" s="30">
        <f>COUNTIFS('AT. MEDICAS 2024'!$A$9:$A$874,"09/02/2025",'AT. MEDICAS 2024'!$I$9:$I$874,B43)</f>
        <v>0</v>
      </c>
      <c r="L43" s="30">
        <f>COUNTIFS('AT. MEDICAS 2024'!$A$9:$A$874,"10/02/2025",'AT. MEDICAS 2024'!$I$9:$I$874,B43)</f>
        <v>0</v>
      </c>
      <c r="M43" s="30">
        <f>COUNTIFS('AT. MEDICAS 2024'!$A$9:$A$874,"11/02/2025",'AT. MEDICAS 2024'!$I$9:$I$874,B43)</f>
        <v>0</v>
      </c>
      <c r="N43" s="30">
        <f>COUNTIFS('AT. MEDICAS 2024'!$A$9:$A$874,"12/02/2025",'AT. MEDICAS 2024'!$I$9:$I$874,B43)</f>
        <v>0</v>
      </c>
      <c r="O43" s="30">
        <f>COUNTIFS('AT. MEDICAS 2024'!$A$9:$A$874,"13/02/2025",'AT. MEDICAS 2024'!$I$9:$I$874,B43)</f>
        <v>0</v>
      </c>
      <c r="P43" s="30">
        <f>COUNTIFS('AT. MEDICAS 2024'!$A$9:$A$874,"14/02/2025",'AT. MEDICAS 2024'!$I$9:$I$874,B43)</f>
        <v>0</v>
      </c>
      <c r="Q43" s="30">
        <f>COUNTIFS('AT. MEDICAS 2024'!$A$9:$A$874,"15/02/2025",'AT. MEDICAS 2024'!$I$9:$I$874,B43)</f>
        <v>0</v>
      </c>
      <c r="R43" s="30">
        <f>COUNTIFS('AT. MEDICAS 2024'!$A$9:$A$874,"16/02/2025",'AT. MEDICAS 2024'!$I$9:$I$874,B43)</f>
        <v>0</v>
      </c>
      <c r="S43" s="30">
        <f>COUNTIFS('AT. MEDICAS 2024'!$A$9:$A$874,"17/02/2025",'AT. MEDICAS 2024'!$I$9:$I$874,B43)</f>
        <v>0</v>
      </c>
      <c r="T43" s="30">
        <f>COUNTIFS('AT. MEDICAS 2024'!$A$9:$A$874,"18/02/2025",'AT. MEDICAS 2024'!$I$9:$I$874,B43)</f>
        <v>0</v>
      </c>
      <c r="U43" s="30">
        <f>COUNTIFS('AT. MEDICAS 2024'!$A$9:$A$874,"19/02/2025",'AT. MEDICAS 2024'!$I$9:$I$874,B43)</f>
        <v>0</v>
      </c>
      <c r="V43" s="30">
        <f>COUNTIFS('AT. MEDICAS 2024'!$A$9:$A$874,"20/02/2025",'AT. MEDICAS 2024'!$I$9:$I$874,B43)</f>
        <v>0</v>
      </c>
      <c r="W43" s="30">
        <f>COUNTIFS('AT. MEDICAS 2024'!$A$9:$A$874,"21/02/2025",'AT. MEDICAS 2024'!$I$9:$I$874,B43)</f>
        <v>0</v>
      </c>
      <c r="X43" s="30">
        <f>COUNTIFS('AT. MEDICAS 2024'!$A$9:$A$874,"22/02/2025",'AT. MEDICAS 2024'!$I$9:$I$874,B43)</f>
        <v>0</v>
      </c>
      <c r="Y43" s="30">
        <f>COUNTIFS('AT. MEDICAS 2024'!$A$9:$A$874,"23/02/2025",'AT. MEDICAS 2024'!$I$9:$I$874,B43)</f>
        <v>0</v>
      </c>
      <c r="Z43" s="30">
        <f>COUNTIFS('AT. MEDICAS 2024'!$A$9:$A$874,"24/02/2025",'AT. MEDICAS 2024'!$I$9:$I$874,B43)</f>
        <v>0</v>
      </c>
      <c r="AA43" s="30">
        <f>COUNTIFS('AT. MEDICAS 2024'!$A$9:$A$874,"25/02/2025",'AT. MEDICAS 2024'!$I$9:$I$874,B43)</f>
        <v>0</v>
      </c>
      <c r="AB43" s="30">
        <f>COUNTIFS('AT. MEDICAS 2024'!$A$9:$A$874,"26/02/2025",'AT. MEDICAS 2024'!$I$9:$I$874,B43)</f>
        <v>0</v>
      </c>
      <c r="AC43" s="30">
        <f>COUNTIFS('AT. MEDICAS 2024'!$A$9:$A$874,"27/02/2025",'AT. MEDICAS 2024'!$I$9:$I$874,B43)</f>
        <v>0</v>
      </c>
      <c r="AD43" s="30">
        <f>COUNTIFS('AT. MEDICAS 2024'!$A$9:$A$874,"28/02/2025",'AT. MEDICAS 2024'!$I$9:$I$874,B43)</f>
        <v>0</v>
      </c>
      <c r="AE43" s="30"/>
      <c r="AF43" s="30"/>
      <c r="AG43" s="30"/>
      <c r="AH43" s="55">
        <f t="shared" si="13"/>
        <v>0</v>
      </c>
    </row>
    <row r="44" spans="1:34" ht="13.8" thickBot="1" x14ac:dyDescent="0.3">
      <c r="A44" s="41">
        <v>9</v>
      </c>
      <c r="B44" s="54" t="s">
        <v>188</v>
      </c>
      <c r="C44" s="30">
        <f>COUNTIFS('AT. MEDICAS 2024'!$A$9:$A$874,"01/02/2025",'AT. MEDICAS 2024'!$I$9:$I$874,B44)</f>
        <v>0</v>
      </c>
      <c r="D44" s="30">
        <f>COUNTIFS('AT. MEDICAS 2024'!$A$9:$A$874,"02/02/2025",'AT. MEDICAS 2024'!$I$9:$I$874,B44)</f>
        <v>0</v>
      </c>
      <c r="E44" s="30">
        <f>COUNTIFS('AT. MEDICAS 2024'!$A$9:$A$874,"03/02/2025",'AT. MEDICAS 2024'!$I$9:$I$874,B44)</f>
        <v>0</v>
      </c>
      <c r="F44" s="30">
        <f>COUNTIFS('AT. MEDICAS 2024'!$A$9:$A$874,"04/02/2025",'AT. MEDICAS 2024'!$I$9:$I$874,B44)</f>
        <v>0</v>
      </c>
      <c r="G44" s="30">
        <f>COUNTIFS('AT. MEDICAS 2024'!$A$9:$A$874,"05/02/2025",'AT. MEDICAS 2024'!$I$9:$I$874,B44)</f>
        <v>0</v>
      </c>
      <c r="H44" s="30">
        <f>COUNTIFS('AT. MEDICAS 2024'!$A$9:$A$874,"06/02/2025",'AT. MEDICAS 2024'!$I$9:$I$874,B44)</f>
        <v>0</v>
      </c>
      <c r="I44" s="30">
        <f>COUNTIFS('AT. MEDICAS 2024'!$A$9:$A$874,"07/02/2025",'AT. MEDICAS 2024'!$I$9:$I$874,B44)</f>
        <v>0</v>
      </c>
      <c r="J44" s="30">
        <f>COUNTIFS('AT. MEDICAS 2024'!$A$9:$A$874,"08/02/2025",'AT. MEDICAS 2024'!$I$9:$I$874,B44)</f>
        <v>0</v>
      </c>
      <c r="K44" s="30">
        <f>COUNTIFS('AT. MEDICAS 2024'!$A$9:$A$874,"09/02/2025",'AT. MEDICAS 2024'!$I$9:$I$874,B44)</f>
        <v>0</v>
      </c>
      <c r="L44" s="30">
        <f>COUNTIFS('AT. MEDICAS 2024'!$A$9:$A$874,"10/02/2025",'AT. MEDICAS 2024'!$I$9:$I$874,B44)</f>
        <v>0</v>
      </c>
      <c r="M44" s="30">
        <f>COUNTIFS('AT. MEDICAS 2024'!$A$9:$A$874,"11/02/2025",'AT. MEDICAS 2024'!$I$9:$I$874,B44)</f>
        <v>0</v>
      </c>
      <c r="N44" s="30">
        <f>COUNTIFS('AT. MEDICAS 2024'!$A$9:$A$874,"12/02/2025",'AT. MEDICAS 2024'!$I$9:$I$874,B44)</f>
        <v>0</v>
      </c>
      <c r="O44" s="30">
        <f>COUNTIFS('AT. MEDICAS 2024'!$A$9:$A$874,"13/02/2025",'AT. MEDICAS 2024'!$I$9:$I$874,B44)</f>
        <v>0</v>
      </c>
      <c r="P44" s="30">
        <f>COUNTIFS('AT. MEDICAS 2024'!$A$9:$A$874,"14/02/2025",'AT. MEDICAS 2024'!$I$9:$I$874,B44)</f>
        <v>0</v>
      </c>
      <c r="Q44" s="30">
        <f>COUNTIFS('AT. MEDICAS 2024'!$A$9:$A$874,"15/02/2025",'AT. MEDICAS 2024'!$I$9:$I$874,B44)</f>
        <v>0</v>
      </c>
      <c r="R44" s="30">
        <f>COUNTIFS('AT. MEDICAS 2024'!$A$9:$A$874,"16/02/2025",'AT. MEDICAS 2024'!$I$9:$I$874,B44)</f>
        <v>0</v>
      </c>
      <c r="S44" s="30">
        <f>COUNTIFS('AT. MEDICAS 2024'!$A$9:$A$874,"17/02/2025",'AT. MEDICAS 2024'!$I$9:$I$874,B44)</f>
        <v>0</v>
      </c>
      <c r="T44" s="30">
        <f>COUNTIFS('AT. MEDICAS 2024'!$A$9:$A$874,"18/02/2025",'AT. MEDICAS 2024'!$I$9:$I$874,B44)</f>
        <v>0</v>
      </c>
      <c r="U44" s="30">
        <f>COUNTIFS('AT. MEDICAS 2024'!$A$9:$A$874,"19/02/2025",'AT. MEDICAS 2024'!$I$9:$I$874,B44)</f>
        <v>0</v>
      </c>
      <c r="V44" s="30">
        <f>COUNTIFS('AT. MEDICAS 2024'!$A$9:$A$874,"20/02/2025",'AT. MEDICAS 2024'!$I$9:$I$874,B44)</f>
        <v>0</v>
      </c>
      <c r="W44" s="30">
        <f>COUNTIFS('AT. MEDICAS 2024'!$A$9:$A$874,"21/02/2025",'AT. MEDICAS 2024'!$I$9:$I$874,B44)</f>
        <v>0</v>
      </c>
      <c r="X44" s="30">
        <f>COUNTIFS('AT. MEDICAS 2024'!$A$9:$A$874,"22/02/2025",'AT. MEDICAS 2024'!$I$9:$I$874,B44)</f>
        <v>0</v>
      </c>
      <c r="Y44" s="30">
        <f>COUNTIFS('AT. MEDICAS 2024'!$A$9:$A$874,"23/02/2025",'AT. MEDICAS 2024'!$I$9:$I$874,B44)</f>
        <v>0</v>
      </c>
      <c r="Z44" s="30">
        <f>COUNTIFS('AT. MEDICAS 2024'!$A$9:$A$874,"24/02/2025",'AT. MEDICAS 2024'!$I$9:$I$874,B44)</f>
        <v>0</v>
      </c>
      <c r="AA44" s="30">
        <f>COUNTIFS('AT. MEDICAS 2024'!$A$9:$A$874,"25/02/2025",'AT. MEDICAS 2024'!$I$9:$I$874,B44)</f>
        <v>0</v>
      </c>
      <c r="AB44" s="30">
        <f>COUNTIFS('AT. MEDICAS 2024'!$A$9:$A$874,"26/02/2025",'AT. MEDICAS 2024'!$I$9:$I$874,B44)</f>
        <v>0</v>
      </c>
      <c r="AC44" s="30">
        <f>COUNTIFS('AT. MEDICAS 2024'!$A$9:$A$874,"27/02/2025",'AT. MEDICAS 2024'!$I$9:$I$874,B44)</f>
        <v>0</v>
      </c>
      <c r="AD44" s="30">
        <f>COUNTIFS('AT. MEDICAS 2024'!$A$9:$A$874,"28/02/2025",'AT. MEDICAS 2024'!$I$9:$I$874,B44)</f>
        <v>0</v>
      </c>
      <c r="AE44" s="30"/>
      <c r="AF44" s="30"/>
      <c r="AG44" s="30"/>
      <c r="AH44" s="55">
        <f t="shared" si="13"/>
        <v>0</v>
      </c>
    </row>
    <row r="45" spans="1:34" ht="13.8" thickBot="1" x14ac:dyDescent="0.3">
      <c r="A45" s="41">
        <v>10</v>
      </c>
      <c r="B45" s="54" t="s">
        <v>97</v>
      </c>
      <c r="C45" s="30">
        <f>COUNTIFS('AT. MEDICAS 2024'!$A$9:$A$874,"01/02/2025",'AT. MEDICAS 2024'!$I$9:$I$874,B45)</f>
        <v>0</v>
      </c>
      <c r="D45" s="30">
        <f>COUNTIFS('AT. MEDICAS 2024'!$A$9:$A$874,"02/02/2025",'AT. MEDICAS 2024'!$I$9:$I$874,B45)</f>
        <v>0</v>
      </c>
      <c r="E45" s="30">
        <f>COUNTIFS('AT. MEDICAS 2024'!$A$9:$A$874,"03/02/2025",'AT. MEDICAS 2024'!$I$9:$I$874,B45)</f>
        <v>0</v>
      </c>
      <c r="F45" s="30">
        <f>COUNTIFS('AT. MEDICAS 2024'!$A$9:$A$874,"04/02/2025",'AT. MEDICAS 2024'!$I$9:$I$874,B45)</f>
        <v>0</v>
      </c>
      <c r="G45" s="30">
        <f>COUNTIFS('AT. MEDICAS 2024'!$A$9:$A$874,"05/02/2025",'AT. MEDICAS 2024'!$I$9:$I$874,B45)</f>
        <v>0</v>
      </c>
      <c r="H45" s="30">
        <f>COUNTIFS('AT. MEDICAS 2024'!$A$9:$A$874,"06/02/2025",'AT. MEDICAS 2024'!$I$9:$I$874,B45)</f>
        <v>0</v>
      </c>
      <c r="I45" s="30">
        <f>COUNTIFS('AT. MEDICAS 2024'!$A$9:$A$874,"07/02/2025",'AT. MEDICAS 2024'!$I$9:$I$874,B45)</f>
        <v>0</v>
      </c>
      <c r="J45" s="30">
        <f>COUNTIFS('AT. MEDICAS 2024'!$A$9:$A$874,"08/02/2025",'AT. MEDICAS 2024'!$I$9:$I$874,B45)</f>
        <v>0</v>
      </c>
      <c r="K45" s="30">
        <f>COUNTIFS('AT. MEDICAS 2024'!$A$9:$A$874,"09/02/2025",'AT. MEDICAS 2024'!$I$9:$I$874,B45)</f>
        <v>0</v>
      </c>
      <c r="L45" s="30">
        <f>COUNTIFS('AT. MEDICAS 2024'!$A$9:$A$874,"10/02/2025",'AT. MEDICAS 2024'!$I$9:$I$874,B45)</f>
        <v>0</v>
      </c>
      <c r="M45" s="30">
        <f>COUNTIFS('AT. MEDICAS 2024'!$A$9:$A$874,"11/02/2025",'AT. MEDICAS 2024'!$I$9:$I$874,B45)</f>
        <v>0</v>
      </c>
      <c r="N45" s="30">
        <f>COUNTIFS('AT. MEDICAS 2024'!$A$9:$A$874,"12/02/2025",'AT. MEDICAS 2024'!$I$9:$I$874,B45)</f>
        <v>0</v>
      </c>
      <c r="O45" s="30">
        <f>COUNTIFS('AT. MEDICAS 2024'!$A$9:$A$874,"13/02/2025",'AT. MEDICAS 2024'!$I$9:$I$874,B45)</f>
        <v>0</v>
      </c>
      <c r="P45" s="30">
        <f>COUNTIFS('AT. MEDICAS 2024'!$A$9:$A$874,"14/02/2025",'AT. MEDICAS 2024'!$I$9:$I$874,B45)</f>
        <v>0</v>
      </c>
      <c r="Q45" s="30">
        <f>COUNTIFS('AT. MEDICAS 2024'!$A$9:$A$874,"15/02/2025",'AT. MEDICAS 2024'!$I$9:$I$874,B45)</f>
        <v>0</v>
      </c>
      <c r="R45" s="30">
        <f>COUNTIFS('AT. MEDICAS 2024'!$A$9:$A$874,"16/02/2025",'AT. MEDICAS 2024'!$I$9:$I$874,B45)</f>
        <v>0</v>
      </c>
      <c r="S45" s="30">
        <f>COUNTIFS('AT. MEDICAS 2024'!$A$9:$A$874,"17/02/2025",'AT. MEDICAS 2024'!$I$9:$I$874,B45)</f>
        <v>0</v>
      </c>
      <c r="T45" s="30">
        <f>COUNTIFS('AT. MEDICAS 2024'!$A$9:$A$874,"18/02/2025",'AT. MEDICAS 2024'!$I$9:$I$874,B45)</f>
        <v>0</v>
      </c>
      <c r="U45" s="30">
        <f>COUNTIFS('AT. MEDICAS 2024'!$A$9:$A$874,"19/02/2025",'AT. MEDICAS 2024'!$I$9:$I$874,B45)</f>
        <v>0</v>
      </c>
      <c r="V45" s="30">
        <f>COUNTIFS('AT. MEDICAS 2024'!$A$9:$A$874,"20/02/2025",'AT. MEDICAS 2024'!$I$9:$I$874,B45)</f>
        <v>0</v>
      </c>
      <c r="W45" s="30">
        <f>COUNTIFS('AT. MEDICAS 2024'!$A$9:$A$874,"21/02/2025",'AT. MEDICAS 2024'!$I$9:$I$874,B45)</f>
        <v>0</v>
      </c>
      <c r="X45" s="30">
        <f>COUNTIFS('AT. MEDICAS 2024'!$A$9:$A$874,"22/02/2025",'AT. MEDICAS 2024'!$I$9:$I$874,B45)</f>
        <v>0</v>
      </c>
      <c r="Y45" s="30">
        <f>COUNTIFS('AT. MEDICAS 2024'!$A$9:$A$874,"23/02/2025",'AT. MEDICAS 2024'!$I$9:$I$874,B45)</f>
        <v>0</v>
      </c>
      <c r="Z45" s="30">
        <f>COUNTIFS('AT. MEDICAS 2024'!$A$9:$A$874,"24/02/2025",'AT. MEDICAS 2024'!$I$9:$I$874,B45)</f>
        <v>0</v>
      </c>
      <c r="AA45" s="30">
        <f>COUNTIFS('AT. MEDICAS 2024'!$A$9:$A$874,"25/02/2025",'AT. MEDICAS 2024'!$I$9:$I$874,B45)</f>
        <v>0</v>
      </c>
      <c r="AB45" s="30">
        <f>COUNTIFS('AT. MEDICAS 2024'!$A$9:$A$874,"26/02/2025",'AT. MEDICAS 2024'!$I$9:$I$874,B45)</f>
        <v>0</v>
      </c>
      <c r="AC45" s="30">
        <f>COUNTIFS('AT. MEDICAS 2024'!$A$9:$A$874,"27/02/2025",'AT. MEDICAS 2024'!$I$9:$I$874,B45)</f>
        <v>0</v>
      </c>
      <c r="AD45" s="30">
        <f>COUNTIFS('AT. MEDICAS 2024'!$A$9:$A$874,"28/02/2025",'AT. MEDICAS 2024'!$I$9:$I$874,B45)</f>
        <v>0</v>
      </c>
      <c r="AE45" s="30"/>
      <c r="AF45" s="30"/>
      <c r="AG45" s="30"/>
      <c r="AH45" s="55">
        <f t="shared" si="13"/>
        <v>0</v>
      </c>
    </row>
    <row r="46" spans="1:34" ht="13.8" thickBot="1" x14ac:dyDescent="0.3">
      <c r="A46" s="41">
        <v>11</v>
      </c>
      <c r="B46" s="54" t="s">
        <v>21</v>
      </c>
      <c r="C46" s="30">
        <f>COUNTIFS('AT. MEDICAS 2024'!$A$9:$A$874,"01/02/2025",'AT. MEDICAS 2024'!$I$9:$I$874,B46)</f>
        <v>0</v>
      </c>
      <c r="D46" s="30">
        <f>COUNTIFS('AT. MEDICAS 2024'!$A$9:$A$874,"02/02/2025",'AT. MEDICAS 2024'!$I$9:$I$874,B46)</f>
        <v>0</v>
      </c>
      <c r="E46" s="30">
        <f>COUNTIFS('AT. MEDICAS 2024'!$A$9:$A$874,"03/02/2025",'AT. MEDICAS 2024'!$I$9:$I$874,B46)</f>
        <v>0</v>
      </c>
      <c r="F46" s="30">
        <f>COUNTIFS('AT. MEDICAS 2024'!$A$9:$A$874,"04/02/2025",'AT. MEDICAS 2024'!$I$9:$I$874,B46)</f>
        <v>0</v>
      </c>
      <c r="G46" s="30">
        <f>COUNTIFS('AT. MEDICAS 2024'!$A$9:$A$874,"05/02/2025",'AT. MEDICAS 2024'!$I$9:$I$874,B46)</f>
        <v>0</v>
      </c>
      <c r="H46" s="30">
        <f>COUNTIFS('AT. MEDICAS 2024'!$A$9:$A$874,"06/02/2025",'AT. MEDICAS 2024'!$I$9:$I$874,B46)</f>
        <v>0</v>
      </c>
      <c r="I46" s="30">
        <f>COUNTIFS('AT. MEDICAS 2024'!$A$9:$A$874,"07/02/2025",'AT. MEDICAS 2024'!$I$9:$I$874,B46)</f>
        <v>0</v>
      </c>
      <c r="J46" s="30">
        <f>COUNTIFS('AT. MEDICAS 2024'!$A$9:$A$874,"08/02/2025",'AT. MEDICAS 2024'!$I$9:$I$874,B46)</f>
        <v>0</v>
      </c>
      <c r="K46" s="30">
        <f>COUNTIFS('AT. MEDICAS 2024'!$A$9:$A$874,"09/02/2025",'AT. MEDICAS 2024'!$I$9:$I$874,B46)</f>
        <v>0</v>
      </c>
      <c r="L46" s="30">
        <f>COUNTIFS('AT. MEDICAS 2024'!$A$9:$A$874,"10/02/2025",'AT. MEDICAS 2024'!$I$9:$I$874,B46)</f>
        <v>0</v>
      </c>
      <c r="M46" s="30">
        <f>COUNTIFS('AT. MEDICAS 2024'!$A$9:$A$874,"11/02/2025",'AT. MEDICAS 2024'!$I$9:$I$874,B46)</f>
        <v>0</v>
      </c>
      <c r="N46" s="30">
        <f>COUNTIFS('AT. MEDICAS 2024'!$A$9:$A$874,"12/02/2025",'AT. MEDICAS 2024'!$I$9:$I$874,B46)</f>
        <v>0</v>
      </c>
      <c r="O46" s="30">
        <f>COUNTIFS('AT. MEDICAS 2024'!$A$9:$A$874,"13/02/2025",'AT. MEDICAS 2024'!$I$9:$I$874,B46)</f>
        <v>0</v>
      </c>
      <c r="P46" s="30">
        <f>COUNTIFS('AT. MEDICAS 2024'!$A$9:$A$874,"14/02/2025",'AT. MEDICAS 2024'!$I$9:$I$874,B46)</f>
        <v>0</v>
      </c>
      <c r="Q46" s="30">
        <f>COUNTIFS('AT. MEDICAS 2024'!$A$9:$A$874,"15/02/2025",'AT. MEDICAS 2024'!$I$9:$I$874,B46)</f>
        <v>0</v>
      </c>
      <c r="R46" s="30">
        <f>COUNTIFS('AT. MEDICAS 2024'!$A$9:$A$874,"16/02/2025",'AT. MEDICAS 2024'!$I$9:$I$874,B46)</f>
        <v>0</v>
      </c>
      <c r="S46" s="30">
        <f>COUNTIFS('AT. MEDICAS 2024'!$A$9:$A$874,"17/02/2025",'AT. MEDICAS 2024'!$I$9:$I$874,B46)</f>
        <v>0</v>
      </c>
      <c r="T46" s="30">
        <f>COUNTIFS('AT. MEDICAS 2024'!$A$9:$A$874,"18/02/2025",'AT. MEDICAS 2024'!$I$9:$I$874,B46)</f>
        <v>0</v>
      </c>
      <c r="U46" s="30">
        <f>COUNTIFS('AT. MEDICAS 2024'!$A$9:$A$874,"19/02/2025",'AT. MEDICAS 2024'!$I$9:$I$874,B46)</f>
        <v>0</v>
      </c>
      <c r="V46" s="30">
        <f>COUNTIFS('AT. MEDICAS 2024'!$A$9:$A$874,"20/02/2025",'AT. MEDICAS 2024'!$I$9:$I$874,B46)</f>
        <v>0</v>
      </c>
      <c r="W46" s="30">
        <f>COUNTIFS('AT. MEDICAS 2024'!$A$9:$A$874,"21/02/2025",'AT. MEDICAS 2024'!$I$9:$I$874,B46)</f>
        <v>0</v>
      </c>
      <c r="X46" s="30">
        <f>COUNTIFS('AT. MEDICAS 2024'!$A$9:$A$874,"22/02/2025",'AT. MEDICAS 2024'!$I$9:$I$874,B46)</f>
        <v>0</v>
      </c>
      <c r="Y46" s="30">
        <f>COUNTIFS('AT. MEDICAS 2024'!$A$9:$A$874,"23/02/2025",'AT. MEDICAS 2024'!$I$9:$I$874,B46)</f>
        <v>0</v>
      </c>
      <c r="Z46" s="30">
        <f>COUNTIFS('AT. MEDICAS 2024'!$A$9:$A$874,"24/02/2025",'AT. MEDICAS 2024'!$I$9:$I$874,B46)</f>
        <v>0</v>
      </c>
      <c r="AA46" s="30">
        <f>COUNTIFS('AT. MEDICAS 2024'!$A$9:$A$874,"25/02/2025",'AT. MEDICAS 2024'!$I$9:$I$874,B46)</f>
        <v>0</v>
      </c>
      <c r="AB46" s="30">
        <f>COUNTIFS('AT. MEDICAS 2024'!$A$9:$A$874,"26/02/2025",'AT. MEDICAS 2024'!$I$9:$I$874,B46)</f>
        <v>0</v>
      </c>
      <c r="AC46" s="30">
        <f>COUNTIFS('AT. MEDICAS 2024'!$A$9:$A$874,"27/02/2025",'AT. MEDICAS 2024'!$I$9:$I$874,B46)</f>
        <v>0</v>
      </c>
      <c r="AD46" s="30">
        <f>COUNTIFS('AT. MEDICAS 2024'!$A$9:$A$874,"28/02/2025",'AT. MEDICAS 2024'!$I$9:$I$874,B46)</f>
        <v>0</v>
      </c>
      <c r="AE46" s="30"/>
      <c r="AF46" s="30"/>
      <c r="AG46" s="30"/>
      <c r="AH46" s="55">
        <f t="shared" si="13"/>
        <v>0</v>
      </c>
    </row>
    <row r="47" spans="1:34" ht="13.8" thickBot="1" x14ac:dyDescent="0.3">
      <c r="A47" s="41">
        <v>12</v>
      </c>
      <c r="B47" s="54" t="s">
        <v>23</v>
      </c>
      <c r="C47" s="30">
        <f>COUNTIFS('AT. MEDICAS 2024'!$A$9:$A$874,"01/02/2025",'AT. MEDICAS 2024'!$I$9:$I$874,B47)</f>
        <v>0</v>
      </c>
      <c r="D47" s="30">
        <f>COUNTIFS('AT. MEDICAS 2024'!$A$9:$A$874,"02/02/2025",'AT. MEDICAS 2024'!$I$9:$I$874,B47)</f>
        <v>0</v>
      </c>
      <c r="E47" s="30">
        <f>COUNTIFS('AT. MEDICAS 2024'!$A$9:$A$874,"03/02/2025",'AT. MEDICAS 2024'!$I$9:$I$874,B47)</f>
        <v>0</v>
      </c>
      <c r="F47" s="30">
        <f>COUNTIFS('AT. MEDICAS 2024'!$A$9:$A$874,"04/02/2025",'AT. MEDICAS 2024'!$I$9:$I$874,B47)</f>
        <v>0</v>
      </c>
      <c r="G47" s="30">
        <f>COUNTIFS('AT. MEDICAS 2024'!$A$9:$A$874,"05/02/2025",'AT. MEDICAS 2024'!$I$9:$I$874,B47)</f>
        <v>0</v>
      </c>
      <c r="H47" s="30">
        <f>COUNTIFS('AT. MEDICAS 2024'!$A$9:$A$874,"06/02/2025",'AT. MEDICAS 2024'!$I$9:$I$874,B47)</f>
        <v>0</v>
      </c>
      <c r="I47" s="30">
        <f>COUNTIFS('AT. MEDICAS 2024'!$A$9:$A$874,"07/02/2025",'AT. MEDICAS 2024'!$I$9:$I$874,B47)</f>
        <v>0</v>
      </c>
      <c r="J47" s="30">
        <f>COUNTIFS('AT. MEDICAS 2024'!$A$9:$A$874,"08/02/2025",'AT. MEDICAS 2024'!$I$9:$I$874,B47)</f>
        <v>0</v>
      </c>
      <c r="K47" s="30">
        <f>COUNTIFS('AT. MEDICAS 2024'!$A$9:$A$874,"09/02/2025",'AT. MEDICAS 2024'!$I$9:$I$874,B47)</f>
        <v>0</v>
      </c>
      <c r="L47" s="30">
        <f>COUNTIFS('AT. MEDICAS 2024'!$A$9:$A$874,"10/02/2025",'AT. MEDICAS 2024'!$I$9:$I$874,B47)</f>
        <v>0</v>
      </c>
      <c r="M47" s="30">
        <f>COUNTIFS('AT. MEDICAS 2024'!$A$9:$A$874,"11/02/2025",'AT. MEDICAS 2024'!$I$9:$I$874,B47)</f>
        <v>0</v>
      </c>
      <c r="N47" s="30">
        <f>COUNTIFS('AT. MEDICAS 2024'!$A$9:$A$874,"12/02/2025",'AT. MEDICAS 2024'!$I$9:$I$874,B47)</f>
        <v>0</v>
      </c>
      <c r="O47" s="30">
        <f>COUNTIFS('AT. MEDICAS 2024'!$A$9:$A$874,"13/02/2025",'AT. MEDICAS 2024'!$I$9:$I$874,B47)</f>
        <v>0</v>
      </c>
      <c r="P47" s="30">
        <f>COUNTIFS('AT. MEDICAS 2024'!$A$9:$A$874,"14/02/2025",'AT. MEDICAS 2024'!$I$9:$I$874,B47)</f>
        <v>0</v>
      </c>
      <c r="Q47" s="30">
        <f>COUNTIFS('AT. MEDICAS 2024'!$A$9:$A$874,"15/02/2025",'AT. MEDICAS 2024'!$I$9:$I$874,B47)</f>
        <v>0</v>
      </c>
      <c r="R47" s="30">
        <f>COUNTIFS('AT. MEDICAS 2024'!$A$9:$A$874,"16/02/2025",'AT. MEDICAS 2024'!$I$9:$I$874,B47)</f>
        <v>0</v>
      </c>
      <c r="S47" s="30">
        <f>COUNTIFS('AT. MEDICAS 2024'!$A$9:$A$874,"17/02/2025",'AT. MEDICAS 2024'!$I$9:$I$874,B47)</f>
        <v>0</v>
      </c>
      <c r="T47" s="30">
        <f>COUNTIFS('AT. MEDICAS 2024'!$A$9:$A$874,"18/02/2025",'AT. MEDICAS 2024'!$I$9:$I$874,B47)</f>
        <v>0</v>
      </c>
      <c r="U47" s="30">
        <f>COUNTIFS('AT. MEDICAS 2024'!$A$9:$A$874,"19/02/2025",'AT. MEDICAS 2024'!$I$9:$I$874,B47)</f>
        <v>0</v>
      </c>
      <c r="V47" s="30">
        <f>COUNTIFS('AT. MEDICAS 2024'!$A$9:$A$874,"20/02/2025",'AT. MEDICAS 2024'!$I$9:$I$874,B47)</f>
        <v>0</v>
      </c>
      <c r="W47" s="30">
        <f>COUNTIFS('AT. MEDICAS 2024'!$A$9:$A$874,"21/02/2025",'AT. MEDICAS 2024'!$I$9:$I$874,B47)</f>
        <v>0</v>
      </c>
      <c r="X47" s="30">
        <f>COUNTIFS('AT. MEDICAS 2024'!$A$9:$A$874,"22/02/2025",'AT. MEDICAS 2024'!$I$9:$I$874,B47)</f>
        <v>0</v>
      </c>
      <c r="Y47" s="30">
        <f>COUNTIFS('AT. MEDICAS 2024'!$A$9:$A$874,"23/02/2025",'AT. MEDICAS 2024'!$I$9:$I$874,B47)</f>
        <v>0</v>
      </c>
      <c r="Z47" s="30">
        <f>COUNTIFS('AT. MEDICAS 2024'!$A$9:$A$874,"24/02/2025",'AT. MEDICAS 2024'!$I$9:$I$874,B47)</f>
        <v>0</v>
      </c>
      <c r="AA47" s="30">
        <f>COUNTIFS('AT. MEDICAS 2024'!$A$9:$A$874,"25/02/2025",'AT. MEDICAS 2024'!$I$9:$I$874,B47)</f>
        <v>0</v>
      </c>
      <c r="AB47" s="30">
        <f>COUNTIFS('AT. MEDICAS 2024'!$A$9:$A$874,"26/02/2025",'AT. MEDICAS 2024'!$I$9:$I$874,B47)</f>
        <v>0</v>
      </c>
      <c r="AC47" s="30">
        <f>COUNTIFS('AT. MEDICAS 2024'!$A$9:$A$874,"27/02/2025",'AT. MEDICAS 2024'!$I$9:$I$874,B47)</f>
        <v>0</v>
      </c>
      <c r="AD47" s="30">
        <f>COUNTIFS('AT. MEDICAS 2024'!$A$9:$A$874,"28/02/2025",'AT. MEDICAS 2024'!$I$9:$I$874,B47)</f>
        <v>0</v>
      </c>
      <c r="AE47" s="30"/>
      <c r="AF47" s="30"/>
      <c r="AG47" s="30"/>
      <c r="AH47" s="55">
        <f t="shared" si="13"/>
        <v>0</v>
      </c>
    </row>
    <row r="48" spans="1:34" ht="13.8" thickBot="1" x14ac:dyDescent="0.3">
      <c r="A48" s="41">
        <v>13</v>
      </c>
      <c r="B48" s="54" t="s">
        <v>57</v>
      </c>
      <c r="C48" s="30">
        <f>COUNTIFS('AT. MEDICAS 2024'!$A$9:$A$874,"01/02/2025",'AT. MEDICAS 2024'!$I$9:$I$874,B48)</f>
        <v>0</v>
      </c>
      <c r="D48" s="30">
        <f>COUNTIFS('AT. MEDICAS 2024'!$A$9:$A$874,"02/02/2025",'AT. MEDICAS 2024'!$I$9:$I$874,B48)</f>
        <v>0</v>
      </c>
      <c r="E48" s="30">
        <f>COUNTIFS('AT. MEDICAS 2024'!$A$9:$A$874,"03/02/2025",'AT. MEDICAS 2024'!$I$9:$I$874,B48)</f>
        <v>0</v>
      </c>
      <c r="F48" s="30">
        <f>COUNTIFS('AT. MEDICAS 2024'!$A$9:$A$874,"04/02/2025",'AT. MEDICAS 2024'!$I$9:$I$874,B48)</f>
        <v>0</v>
      </c>
      <c r="G48" s="30">
        <f>COUNTIFS('AT. MEDICAS 2024'!$A$9:$A$874,"05/02/2025",'AT. MEDICAS 2024'!$I$9:$I$874,B48)</f>
        <v>0</v>
      </c>
      <c r="H48" s="30">
        <f>COUNTIFS('AT. MEDICAS 2024'!$A$9:$A$874,"06/02/2025",'AT. MEDICAS 2024'!$I$9:$I$874,B48)</f>
        <v>0</v>
      </c>
      <c r="I48" s="30">
        <f>COUNTIFS('AT. MEDICAS 2024'!$A$9:$A$874,"07/02/2025",'AT. MEDICAS 2024'!$I$9:$I$874,B48)</f>
        <v>0</v>
      </c>
      <c r="J48" s="30">
        <f>COUNTIFS('AT. MEDICAS 2024'!$A$9:$A$874,"08/02/2025",'AT. MEDICAS 2024'!$I$9:$I$874,B48)</f>
        <v>0</v>
      </c>
      <c r="K48" s="30">
        <f>COUNTIFS('AT. MEDICAS 2024'!$A$9:$A$874,"09/02/2025",'AT. MEDICAS 2024'!$I$9:$I$874,B48)</f>
        <v>0</v>
      </c>
      <c r="L48" s="30">
        <f>COUNTIFS('AT. MEDICAS 2024'!$A$9:$A$874,"10/02/2025",'AT. MEDICAS 2024'!$I$9:$I$874,B48)</f>
        <v>0</v>
      </c>
      <c r="M48" s="30">
        <f>COUNTIFS('AT. MEDICAS 2024'!$A$9:$A$874,"11/02/2025",'AT. MEDICAS 2024'!$I$9:$I$874,B48)</f>
        <v>0</v>
      </c>
      <c r="N48" s="30">
        <f>COUNTIFS('AT. MEDICAS 2024'!$A$9:$A$874,"12/02/2025",'AT. MEDICAS 2024'!$I$9:$I$874,B48)</f>
        <v>0</v>
      </c>
      <c r="O48" s="30">
        <f>COUNTIFS('AT. MEDICAS 2024'!$A$9:$A$874,"13/02/2025",'AT. MEDICAS 2024'!$I$9:$I$874,B48)</f>
        <v>0</v>
      </c>
      <c r="P48" s="30">
        <f>COUNTIFS('AT. MEDICAS 2024'!$A$9:$A$874,"14/02/2025",'AT. MEDICAS 2024'!$I$9:$I$874,B48)</f>
        <v>0</v>
      </c>
      <c r="Q48" s="30">
        <f>COUNTIFS('AT. MEDICAS 2024'!$A$9:$A$874,"15/02/2025",'AT. MEDICAS 2024'!$I$9:$I$874,B48)</f>
        <v>0</v>
      </c>
      <c r="R48" s="30">
        <f>COUNTIFS('AT. MEDICAS 2024'!$A$9:$A$874,"16/02/2025",'AT. MEDICAS 2024'!$I$9:$I$874,B48)</f>
        <v>0</v>
      </c>
      <c r="S48" s="30">
        <f>COUNTIFS('AT. MEDICAS 2024'!$A$9:$A$874,"17/02/2025",'AT. MEDICAS 2024'!$I$9:$I$874,B48)</f>
        <v>0</v>
      </c>
      <c r="T48" s="30">
        <f>COUNTIFS('AT. MEDICAS 2024'!$A$9:$A$874,"18/02/2025",'AT. MEDICAS 2024'!$I$9:$I$874,B48)</f>
        <v>0</v>
      </c>
      <c r="U48" s="30">
        <f>COUNTIFS('AT. MEDICAS 2024'!$A$9:$A$874,"19/02/2025",'AT. MEDICAS 2024'!$I$9:$I$874,B48)</f>
        <v>0</v>
      </c>
      <c r="V48" s="30">
        <f>COUNTIFS('AT. MEDICAS 2024'!$A$9:$A$874,"20/02/2025",'AT. MEDICAS 2024'!$I$9:$I$874,B48)</f>
        <v>0</v>
      </c>
      <c r="W48" s="30">
        <f>COUNTIFS('AT. MEDICAS 2024'!$A$9:$A$874,"21/02/2025",'AT. MEDICAS 2024'!$I$9:$I$874,B48)</f>
        <v>0</v>
      </c>
      <c r="X48" s="30">
        <f>COUNTIFS('AT. MEDICAS 2024'!$A$9:$A$874,"22/02/2025",'AT. MEDICAS 2024'!$I$9:$I$874,B48)</f>
        <v>0</v>
      </c>
      <c r="Y48" s="30">
        <f>COUNTIFS('AT. MEDICAS 2024'!$A$9:$A$874,"23/02/2025",'AT. MEDICAS 2024'!$I$9:$I$874,B48)</f>
        <v>0</v>
      </c>
      <c r="Z48" s="30">
        <f>COUNTIFS('AT. MEDICAS 2024'!$A$9:$A$874,"24/02/2025",'AT. MEDICAS 2024'!$I$9:$I$874,B48)</f>
        <v>0</v>
      </c>
      <c r="AA48" s="30">
        <f>COUNTIFS('AT. MEDICAS 2024'!$A$9:$A$874,"25/02/2025",'AT. MEDICAS 2024'!$I$9:$I$874,B48)</f>
        <v>0</v>
      </c>
      <c r="AB48" s="30">
        <f>COUNTIFS('AT. MEDICAS 2024'!$A$9:$A$874,"26/02/2025",'AT. MEDICAS 2024'!$I$9:$I$874,B48)</f>
        <v>0</v>
      </c>
      <c r="AC48" s="30">
        <f>COUNTIFS('AT. MEDICAS 2024'!$A$9:$A$874,"27/02/2025",'AT. MEDICAS 2024'!$I$9:$I$874,B48)</f>
        <v>0</v>
      </c>
      <c r="AD48" s="30">
        <f>COUNTIFS('AT. MEDICAS 2024'!$A$9:$A$874,"28/02/2025",'AT. MEDICAS 2024'!$I$9:$I$874,B48)</f>
        <v>0</v>
      </c>
      <c r="AE48" s="30"/>
      <c r="AF48" s="30"/>
      <c r="AG48" s="30"/>
      <c r="AH48" s="55">
        <f t="shared" si="13"/>
        <v>0</v>
      </c>
    </row>
    <row r="49" spans="1:34" ht="13.8" thickBot="1" x14ac:dyDescent="0.3">
      <c r="A49" s="41">
        <v>14</v>
      </c>
      <c r="B49" s="54" t="s">
        <v>66</v>
      </c>
      <c r="C49" s="30">
        <f>COUNTIFS('AT. MEDICAS 2024'!$A$9:$A$874,"01/02/2025",'AT. MEDICAS 2024'!$I$9:$I$874,B49)</f>
        <v>0</v>
      </c>
      <c r="D49" s="30">
        <f>COUNTIFS('AT. MEDICAS 2024'!$A$9:$A$874,"02/02/2025",'AT. MEDICAS 2024'!$I$9:$I$874,B49)</f>
        <v>0</v>
      </c>
      <c r="E49" s="30">
        <f>COUNTIFS('AT. MEDICAS 2024'!$A$9:$A$874,"03/02/2025",'AT. MEDICAS 2024'!$I$9:$I$874,B49)</f>
        <v>0</v>
      </c>
      <c r="F49" s="30">
        <f>COUNTIFS('AT. MEDICAS 2024'!$A$9:$A$874,"04/02/2025",'AT. MEDICAS 2024'!$I$9:$I$874,B49)</f>
        <v>0</v>
      </c>
      <c r="G49" s="30">
        <f>COUNTIFS('AT. MEDICAS 2024'!$A$9:$A$874,"05/02/2025",'AT. MEDICAS 2024'!$I$9:$I$874,B49)</f>
        <v>0</v>
      </c>
      <c r="H49" s="30">
        <f>COUNTIFS('AT. MEDICAS 2024'!$A$9:$A$874,"06/02/2025",'AT. MEDICAS 2024'!$I$9:$I$874,B49)</f>
        <v>0</v>
      </c>
      <c r="I49" s="30">
        <f>COUNTIFS('AT. MEDICAS 2024'!$A$9:$A$874,"07/02/2025",'AT. MEDICAS 2024'!$I$9:$I$874,B49)</f>
        <v>0</v>
      </c>
      <c r="J49" s="30">
        <f>COUNTIFS('AT. MEDICAS 2024'!$A$9:$A$874,"08/02/2025",'AT. MEDICAS 2024'!$I$9:$I$874,B49)</f>
        <v>0</v>
      </c>
      <c r="K49" s="30">
        <f>COUNTIFS('AT. MEDICAS 2024'!$A$9:$A$874,"09/02/2025",'AT. MEDICAS 2024'!$I$9:$I$874,B49)</f>
        <v>0</v>
      </c>
      <c r="L49" s="30">
        <f>COUNTIFS('AT. MEDICAS 2024'!$A$9:$A$874,"10/02/2025",'AT. MEDICAS 2024'!$I$9:$I$874,B49)</f>
        <v>0</v>
      </c>
      <c r="M49" s="30">
        <f>COUNTIFS('AT. MEDICAS 2024'!$A$9:$A$874,"11/02/2025",'AT. MEDICAS 2024'!$I$9:$I$874,B49)</f>
        <v>0</v>
      </c>
      <c r="N49" s="30">
        <f>COUNTIFS('AT. MEDICAS 2024'!$A$9:$A$874,"12/02/2025",'AT. MEDICAS 2024'!$I$9:$I$874,B49)</f>
        <v>0</v>
      </c>
      <c r="O49" s="30">
        <f>COUNTIFS('AT. MEDICAS 2024'!$A$9:$A$874,"13/02/2025",'AT. MEDICAS 2024'!$I$9:$I$874,B49)</f>
        <v>0</v>
      </c>
      <c r="P49" s="30">
        <f>COUNTIFS('AT. MEDICAS 2024'!$A$9:$A$874,"14/02/2025",'AT. MEDICAS 2024'!$I$9:$I$874,B49)</f>
        <v>0</v>
      </c>
      <c r="Q49" s="30">
        <f>COUNTIFS('AT. MEDICAS 2024'!$A$9:$A$874,"15/02/2025",'AT. MEDICAS 2024'!$I$9:$I$874,B49)</f>
        <v>0</v>
      </c>
      <c r="R49" s="30">
        <f>COUNTIFS('AT. MEDICAS 2024'!$A$9:$A$874,"16/02/2025",'AT. MEDICAS 2024'!$I$9:$I$874,B49)</f>
        <v>0</v>
      </c>
      <c r="S49" s="30">
        <f>COUNTIFS('AT. MEDICAS 2024'!$A$9:$A$874,"17/02/2025",'AT. MEDICAS 2024'!$I$9:$I$874,B49)</f>
        <v>0</v>
      </c>
      <c r="T49" s="30">
        <f>COUNTIFS('AT. MEDICAS 2024'!$A$9:$A$874,"18/02/2025",'AT. MEDICAS 2024'!$I$9:$I$874,B49)</f>
        <v>0</v>
      </c>
      <c r="U49" s="30">
        <f>COUNTIFS('AT. MEDICAS 2024'!$A$9:$A$874,"19/02/2025",'AT. MEDICAS 2024'!$I$9:$I$874,B49)</f>
        <v>0</v>
      </c>
      <c r="V49" s="30">
        <f>COUNTIFS('AT. MEDICAS 2024'!$A$9:$A$874,"20/02/2025",'AT. MEDICAS 2024'!$I$9:$I$874,B49)</f>
        <v>0</v>
      </c>
      <c r="W49" s="30">
        <f>COUNTIFS('AT. MEDICAS 2024'!$A$9:$A$874,"21/02/2025",'AT. MEDICAS 2024'!$I$9:$I$874,B49)</f>
        <v>0</v>
      </c>
      <c r="X49" s="30">
        <f>COUNTIFS('AT. MEDICAS 2024'!$A$9:$A$874,"22/02/2025",'AT. MEDICAS 2024'!$I$9:$I$874,B49)</f>
        <v>0</v>
      </c>
      <c r="Y49" s="30">
        <f>COUNTIFS('AT. MEDICAS 2024'!$A$9:$A$874,"23/02/2025",'AT. MEDICAS 2024'!$I$9:$I$874,B49)</f>
        <v>0</v>
      </c>
      <c r="Z49" s="30">
        <f>COUNTIFS('AT. MEDICAS 2024'!$A$9:$A$874,"24/02/2025",'AT. MEDICAS 2024'!$I$9:$I$874,B49)</f>
        <v>0</v>
      </c>
      <c r="AA49" s="30">
        <f>COUNTIFS('AT. MEDICAS 2024'!$A$9:$A$874,"25/02/2025",'AT. MEDICAS 2024'!$I$9:$I$874,B49)</f>
        <v>0</v>
      </c>
      <c r="AB49" s="30">
        <f>COUNTIFS('AT. MEDICAS 2024'!$A$9:$A$874,"26/02/2025",'AT. MEDICAS 2024'!$I$9:$I$874,B49)</f>
        <v>0</v>
      </c>
      <c r="AC49" s="30">
        <f>COUNTIFS('AT. MEDICAS 2024'!$A$9:$A$874,"27/02/2025",'AT. MEDICAS 2024'!$I$9:$I$874,B49)</f>
        <v>0</v>
      </c>
      <c r="AD49" s="30">
        <f>COUNTIFS('AT. MEDICAS 2024'!$A$9:$A$874,"28/02/2025",'AT. MEDICAS 2024'!$I$9:$I$874,B49)</f>
        <v>0</v>
      </c>
      <c r="AE49" s="30"/>
      <c r="AF49" s="30"/>
      <c r="AG49" s="30"/>
      <c r="AH49" s="55">
        <f t="shared" si="13"/>
        <v>0</v>
      </c>
    </row>
    <row r="50" spans="1:34" ht="13.8" thickBot="1" x14ac:dyDescent="0.3">
      <c r="A50" s="41">
        <v>15</v>
      </c>
      <c r="B50" s="54" t="s">
        <v>189</v>
      </c>
      <c r="C50" s="30">
        <f>COUNTIFS('AT. MEDICAS 2024'!$A$9:$A$874,"01/02/2025",'AT. MEDICAS 2024'!$I$9:$I$874,B50)</f>
        <v>0</v>
      </c>
      <c r="D50" s="30">
        <f>COUNTIFS('AT. MEDICAS 2024'!$A$9:$A$874,"02/02/2025",'AT. MEDICAS 2024'!$I$9:$I$874,B50)</f>
        <v>0</v>
      </c>
      <c r="E50" s="30">
        <f>COUNTIFS('AT. MEDICAS 2024'!$A$9:$A$874,"03/02/2025",'AT. MEDICAS 2024'!$I$9:$I$874,B50)</f>
        <v>0</v>
      </c>
      <c r="F50" s="30">
        <f>COUNTIFS('AT. MEDICAS 2024'!$A$9:$A$874,"04/02/2025",'AT. MEDICAS 2024'!$I$9:$I$874,B50)</f>
        <v>0</v>
      </c>
      <c r="G50" s="30">
        <f>COUNTIFS('AT. MEDICAS 2024'!$A$9:$A$874,"05/02/2025",'AT. MEDICAS 2024'!$I$9:$I$874,B50)</f>
        <v>0</v>
      </c>
      <c r="H50" s="30">
        <f>COUNTIFS('AT. MEDICAS 2024'!$A$9:$A$874,"06/02/2025",'AT. MEDICAS 2024'!$I$9:$I$874,B50)</f>
        <v>0</v>
      </c>
      <c r="I50" s="30">
        <f>COUNTIFS('AT. MEDICAS 2024'!$A$9:$A$874,"07/02/2025",'AT. MEDICAS 2024'!$I$9:$I$874,B50)</f>
        <v>0</v>
      </c>
      <c r="J50" s="30">
        <f>COUNTIFS('AT. MEDICAS 2024'!$A$9:$A$874,"08/02/2025",'AT. MEDICAS 2024'!$I$9:$I$874,B50)</f>
        <v>0</v>
      </c>
      <c r="K50" s="30">
        <f>COUNTIFS('AT. MEDICAS 2024'!$A$9:$A$874,"09/02/2025",'AT. MEDICAS 2024'!$I$9:$I$874,B50)</f>
        <v>0</v>
      </c>
      <c r="L50" s="30">
        <f>COUNTIFS('AT. MEDICAS 2024'!$A$9:$A$874,"10/02/2025",'AT. MEDICAS 2024'!$I$9:$I$874,B50)</f>
        <v>0</v>
      </c>
      <c r="M50" s="30">
        <f>COUNTIFS('AT. MEDICAS 2024'!$A$9:$A$874,"11/02/2025",'AT. MEDICAS 2024'!$I$9:$I$874,B50)</f>
        <v>0</v>
      </c>
      <c r="N50" s="30">
        <f>COUNTIFS('AT. MEDICAS 2024'!$A$9:$A$874,"12/02/2025",'AT. MEDICAS 2024'!$I$9:$I$874,B50)</f>
        <v>0</v>
      </c>
      <c r="O50" s="30">
        <f>COUNTIFS('AT. MEDICAS 2024'!$A$9:$A$874,"13/02/2025",'AT. MEDICAS 2024'!$I$9:$I$874,B50)</f>
        <v>0</v>
      </c>
      <c r="P50" s="30">
        <f>COUNTIFS('AT. MEDICAS 2024'!$A$9:$A$874,"14/02/2025",'AT. MEDICAS 2024'!$I$9:$I$874,B50)</f>
        <v>0</v>
      </c>
      <c r="Q50" s="30">
        <f>COUNTIFS('AT. MEDICAS 2024'!$A$9:$A$874,"15/02/2025",'AT. MEDICAS 2024'!$I$9:$I$874,B50)</f>
        <v>0</v>
      </c>
      <c r="R50" s="30">
        <f>COUNTIFS('AT. MEDICAS 2024'!$A$9:$A$874,"16/02/2025",'AT. MEDICAS 2024'!$I$9:$I$874,B50)</f>
        <v>0</v>
      </c>
      <c r="S50" s="30">
        <f>COUNTIFS('AT. MEDICAS 2024'!$A$9:$A$874,"17/02/2025",'AT. MEDICAS 2024'!$I$9:$I$874,B50)</f>
        <v>0</v>
      </c>
      <c r="T50" s="30">
        <f>COUNTIFS('AT. MEDICAS 2024'!$A$9:$A$874,"18/02/2025",'AT. MEDICAS 2024'!$I$9:$I$874,B50)</f>
        <v>0</v>
      </c>
      <c r="U50" s="30">
        <f>COUNTIFS('AT. MEDICAS 2024'!$A$9:$A$874,"19/02/2025",'AT. MEDICAS 2024'!$I$9:$I$874,B50)</f>
        <v>0</v>
      </c>
      <c r="V50" s="30">
        <f>COUNTIFS('AT. MEDICAS 2024'!$A$9:$A$874,"20/02/2025",'AT. MEDICAS 2024'!$I$9:$I$874,B50)</f>
        <v>0</v>
      </c>
      <c r="W50" s="30">
        <f>COUNTIFS('AT. MEDICAS 2024'!$A$9:$A$874,"21/02/2025",'AT. MEDICAS 2024'!$I$9:$I$874,B50)</f>
        <v>0</v>
      </c>
      <c r="X50" s="30">
        <f>COUNTIFS('AT. MEDICAS 2024'!$A$9:$A$874,"22/02/2025",'AT. MEDICAS 2024'!$I$9:$I$874,B50)</f>
        <v>0</v>
      </c>
      <c r="Y50" s="30">
        <f>COUNTIFS('AT. MEDICAS 2024'!$A$9:$A$874,"23/02/2025",'AT. MEDICAS 2024'!$I$9:$I$874,B50)</f>
        <v>0</v>
      </c>
      <c r="Z50" s="30">
        <f>COUNTIFS('AT. MEDICAS 2024'!$A$9:$A$874,"24/02/2025",'AT. MEDICAS 2024'!$I$9:$I$874,B50)</f>
        <v>0</v>
      </c>
      <c r="AA50" s="30">
        <f>COUNTIFS('AT. MEDICAS 2024'!$A$9:$A$874,"25/02/2025",'AT. MEDICAS 2024'!$I$9:$I$874,B50)</f>
        <v>0</v>
      </c>
      <c r="AB50" s="30">
        <f>COUNTIFS('AT. MEDICAS 2024'!$A$9:$A$874,"26/02/2025",'AT. MEDICAS 2024'!$I$9:$I$874,B50)</f>
        <v>0</v>
      </c>
      <c r="AC50" s="30">
        <f>COUNTIFS('AT. MEDICAS 2024'!$A$9:$A$874,"27/02/2025",'AT. MEDICAS 2024'!$I$9:$I$874,B50)</f>
        <v>0</v>
      </c>
      <c r="AD50" s="30">
        <f>COUNTIFS('AT. MEDICAS 2024'!$A$9:$A$874,"28/02/2025",'AT. MEDICAS 2024'!$I$9:$I$874,B50)</f>
        <v>0</v>
      </c>
      <c r="AE50" s="30"/>
      <c r="AF50" s="30"/>
      <c r="AG50" s="30"/>
      <c r="AH50" s="55">
        <f t="shared" si="13"/>
        <v>0</v>
      </c>
    </row>
    <row r="51" spans="1:34" ht="13.8" thickBot="1" x14ac:dyDescent="0.3">
      <c r="A51" s="41">
        <v>16</v>
      </c>
      <c r="B51" s="54" t="s">
        <v>14</v>
      </c>
      <c r="C51" s="30">
        <f>COUNTIFS('AT. MEDICAS 2024'!$A$9:$A$874,"01/02/2025",'AT. MEDICAS 2024'!$I$9:$I$874,B51)</f>
        <v>0</v>
      </c>
      <c r="D51" s="30">
        <f>COUNTIFS('AT. MEDICAS 2024'!$A$9:$A$874,"02/02/2025",'AT. MEDICAS 2024'!$I$9:$I$874,B51)</f>
        <v>0</v>
      </c>
      <c r="E51" s="30">
        <f>COUNTIFS('AT. MEDICAS 2024'!$A$9:$A$874,"03/02/2025",'AT. MEDICAS 2024'!$I$9:$I$874,B51)</f>
        <v>0</v>
      </c>
      <c r="F51" s="30">
        <f>COUNTIFS('AT. MEDICAS 2024'!$A$9:$A$874,"04/02/2025",'AT. MEDICAS 2024'!$I$9:$I$874,B51)</f>
        <v>0</v>
      </c>
      <c r="G51" s="30">
        <f>COUNTIFS('AT. MEDICAS 2024'!$A$9:$A$874,"05/02/2025",'AT. MEDICAS 2024'!$I$9:$I$874,B51)</f>
        <v>0</v>
      </c>
      <c r="H51" s="30">
        <f>COUNTIFS('AT. MEDICAS 2024'!$A$9:$A$874,"06/02/2025",'AT. MEDICAS 2024'!$I$9:$I$874,B51)</f>
        <v>0</v>
      </c>
      <c r="I51" s="30">
        <f>COUNTIFS('AT. MEDICAS 2024'!$A$9:$A$874,"07/02/2025",'AT. MEDICAS 2024'!$I$9:$I$874,B51)</f>
        <v>0</v>
      </c>
      <c r="J51" s="30">
        <f>COUNTIFS('AT. MEDICAS 2024'!$A$9:$A$874,"08/02/2025",'AT. MEDICAS 2024'!$I$9:$I$874,B51)</f>
        <v>0</v>
      </c>
      <c r="K51" s="30">
        <f>COUNTIFS('AT. MEDICAS 2024'!$A$9:$A$874,"09/02/2025",'AT. MEDICAS 2024'!$I$9:$I$874,B51)</f>
        <v>0</v>
      </c>
      <c r="L51" s="30">
        <f>COUNTIFS('AT. MEDICAS 2024'!$A$9:$A$874,"10/02/2025",'AT. MEDICAS 2024'!$I$9:$I$874,B51)</f>
        <v>0</v>
      </c>
      <c r="M51" s="30">
        <f>COUNTIFS('AT. MEDICAS 2024'!$A$9:$A$874,"11/02/2025",'AT. MEDICAS 2024'!$I$9:$I$874,B51)</f>
        <v>0</v>
      </c>
      <c r="N51" s="30">
        <f>COUNTIFS('AT. MEDICAS 2024'!$A$9:$A$874,"12/02/2025",'AT. MEDICAS 2024'!$I$9:$I$874,B51)</f>
        <v>0</v>
      </c>
      <c r="O51" s="30">
        <f>COUNTIFS('AT. MEDICAS 2024'!$A$9:$A$874,"13/02/2025",'AT. MEDICAS 2024'!$I$9:$I$874,B51)</f>
        <v>0</v>
      </c>
      <c r="P51" s="30">
        <f>COUNTIFS('AT. MEDICAS 2024'!$A$9:$A$874,"14/02/2025",'AT. MEDICAS 2024'!$I$9:$I$874,B51)</f>
        <v>0</v>
      </c>
      <c r="Q51" s="30">
        <f>COUNTIFS('AT. MEDICAS 2024'!$A$9:$A$874,"15/02/2025",'AT. MEDICAS 2024'!$I$9:$I$874,B51)</f>
        <v>0</v>
      </c>
      <c r="R51" s="30">
        <f>COUNTIFS('AT. MEDICAS 2024'!$A$9:$A$874,"16/02/2025",'AT. MEDICAS 2024'!$I$9:$I$874,B51)</f>
        <v>0</v>
      </c>
      <c r="S51" s="30">
        <f>COUNTIFS('AT. MEDICAS 2024'!$A$9:$A$874,"17/02/2025",'AT. MEDICAS 2024'!$I$9:$I$874,B51)</f>
        <v>0</v>
      </c>
      <c r="T51" s="30">
        <f>COUNTIFS('AT. MEDICAS 2024'!$A$9:$A$874,"18/02/2025",'AT. MEDICAS 2024'!$I$9:$I$874,B51)</f>
        <v>0</v>
      </c>
      <c r="U51" s="30">
        <f>COUNTIFS('AT. MEDICAS 2024'!$A$9:$A$874,"19/02/2025",'AT. MEDICAS 2024'!$I$9:$I$874,B51)</f>
        <v>0</v>
      </c>
      <c r="V51" s="30">
        <f>COUNTIFS('AT. MEDICAS 2024'!$A$9:$A$874,"20/02/2025",'AT. MEDICAS 2024'!$I$9:$I$874,B51)</f>
        <v>0</v>
      </c>
      <c r="W51" s="30">
        <f>COUNTIFS('AT. MEDICAS 2024'!$A$9:$A$874,"21/02/2025",'AT. MEDICAS 2024'!$I$9:$I$874,B51)</f>
        <v>0</v>
      </c>
      <c r="X51" s="30">
        <f>COUNTIFS('AT. MEDICAS 2024'!$A$9:$A$874,"22/02/2025",'AT. MEDICAS 2024'!$I$9:$I$874,B51)</f>
        <v>0</v>
      </c>
      <c r="Y51" s="30">
        <f>COUNTIFS('AT. MEDICAS 2024'!$A$9:$A$874,"23/02/2025",'AT. MEDICAS 2024'!$I$9:$I$874,B51)</f>
        <v>0</v>
      </c>
      <c r="Z51" s="30">
        <f>COUNTIFS('AT. MEDICAS 2024'!$A$9:$A$874,"24/02/2025",'AT. MEDICAS 2024'!$I$9:$I$874,B51)</f>
        <v>0</v>
      </c>
      <c r="AA51" s="30">
        <f>COUNTIFS('AT. MEDICAS 2024'!$A$9:$A$874,"25/02/2025",'AT. MEDICAS 2024'!$I$9:$I$874,B51)</f>
        <v>0</v>
      </c>
      <c r="AB51" s="30">
        <f>COUNTIFS('AT. MEDICAS 2024'!$A$9:$A$874,"26/02/2025",'AT. MEDICAS 2024'!$I$9:$I$874,B51)</f>
        <v>0</v>
      </c>
      <c r="AC51" s="30">
        <f>COUNTIFS('AT. MEDICAS 2024'!$A$9:$A$874,"27/02/2025",'AT. MEDICAS 2024'!$I$9:$I$874,B51)</f>
        <v>0</v>
      </c>
      <c r="AD51" s="30">
        <f>COUNTIFS('AT. MEDICAS 2024'!$A$9:$A$874,"28/02/2025",'AT. MEDICAS 2024'!$I$9:$I$874,B51)</f>
        <v>0</v>
      </c>
      <c r="AE51" s="30"/>
      <c r="AF51" s="30"/>
      <c r="AG51" s="30"/>
      <c r="AH51" s="55">
        <f t="shared" si="13"/>
        <v>0</v>
      </c>
    </row>
    <row r="52" spans="1:34" ht="13.8" thickBot="1" x14ac:dyDescent="0.3">
      <c r="A52" s="41">
        <v>17</v>
      </c>
      <c r="B52" s="54" t="s">
        <v>72</v>
      </c>
      <c r="C52" s="30">
        <f>COUNTIFS('AT. MEDICAS 2024'!$A$9:$A$874,"01/02/2025",'AT. MEDICAS 2024'!$I$9:$I$874,B52)</f>
        <v>0</v>
      </c>
      <c r="D52" s="30">
        <f>COUNTIFS('AT. MEDICAS 2024'!$A$9:$A$874,"02/02/2025",'AT. MEDICAS 2024'!$I$9:$I$874,B52)</f>
        <v>0</v>
      </c>
      <c r="E52" s="30">
        <f>COUNTIFS('AT. MEDICAS 2024'!$A$9:$A$874,"03/02/2025",'AT. MEDICAS 2024'!$I$9:$I$874,B52)</f>
        <v>0</v>
      </c>
      <c r="F52" s="30">
        <f>COUNTIFS('AT. MEDICAS 2024'!$A$9:$A$874,"04/02/2025",'AT. MEDICAS 2024'!$I$9:$I$874,B52)</f>
        <v>0</v>
      </c>
      <c r="G52" s="30">
        <f>COUNTIFS('AT. MEDICAS 2024'!$A$9:$A$874,"05/02/2025",'AT. MEDICAS 2024'!$I$9:$I$874,B52)</f>
        <v>0</v>
      </c>
      <c r="H52" s="30">
        <f>COUNTIFS('AT. MEDICAS 2024'!$A$9:$A$874,"06/02/2025",'AT. MEDICAS 2024'!$I$9:$I$874,B52)</f>
        <v>0</v>
      </c>
      <c r="I52" s="30">
        <f>COUNTIFS('AT. MEDICAS 2024'!$A$9:$A$874,"07/02/2025",'AT. MEDICAS 2024'!$I$9:$I$874,B52)</f>
        <v>0</v>
      </c>
      <c r="J52" s="30">
        <f>COUNTIFS('AT. MEDICAS 2024'!$A$9:$A$874,"08/02/2025",'AT. MEDICAS 2024'!$I$9:$I$874,B52)</f>
        <v>0</v>
      </c>
      <c r="K52" s="30">
        <f>COUNTIFS('AT. MEDICAS 2024'!$A$9:$A$874,"09/02/2025",'AT. MEDICAS 2024'!$I$9:$I$874,B52)</f>
        <v>0</v>
      </c>
      <c r="L52" s="30">
        <f>COUNTIFS('AT. MEDICAS 2024'!$A$9:$A$874,"10/02/2025",'AT. MEDICAS 2024'!$I$9:$I$874,B52)</f>
        <v>0</v>
      </c>
      <c r="M52" s="30">
        <f>COUNTIFS('AT. MEDICAS 2024'!$A$9:$A$874,"11/02/2025",'AT. MEDICAS 2024'!$I$9:$I$874,B52)</f>
        <v>0</v>
      </c>
      <c r="N52" s="30">
        <f>COUNTIFS('AT. MEDICAS 2024'!$A$9:$A$874,"12/02/2025",'AT. MEDICAS 2024'!$I$9:$I$874,B52)</f>
        <v>0</v>
      </c>
      <c r="O52" s="30">
        <f>COUNTIFS('AT. MEDICAS 2024'!$A$9:$A$874,"13/02/2025",'AT. MEDICAS 2024'!$I$9:$I$874,B52)</f>
        <v>0</v>
      </c>
      <c r="P52" s="30">
        <f>COUNTIFS('AT. MEDICAS 2024'!$A$9:$A$874,"14/02/2025",'AT. MEDICAS 2024'!$I$9:$I$874,B52)</f>
        <v>0</v>
      </c>
      <c r="Q52" s="30">
        <f>COUNTIFS('AT. MEDICAS 2024'!$A$9:$A$874,"15/02/2025",'AT. MEDICAS 2024'!$I$9:$I$874,B52)</f>
        <v>0</v>
      </c>
      <c r="R52" s="30">
        <f>COUNTIFS('AT. MEDICAS 2024'!$A$9:$A$874,"16/02/2025",'AT. MEDICAS 2024'!$I$9:$I$874,B52)</f>
        <v>0</v>
      </c>
      <c r="S52" s="30">
        <f>COUNTIFS('AT. MEDICAS 2024'!$A$9:$A$874,"17/02/2025",'AT. MEDICAS 2024'!$I$9:$I$874,B52)</f>
        <v>0</v>
      </c>
      <c r="T52" s="30">
        <f>COUNTIFS('AT. MEDICAS 2024'!$A$9:$A$874,"18/02/2025",'AT. MEDICAS 2024'!$I$9:$I$874,B52)</f>
        <v>0</v>
      </c>
      <c r="U52" s="30">
        <f>COUNTIFS('AT. MEDICAS 2024'!$A$9:$A$874,"19/02/2025",'AT. MEDICAS 2024'!$I$9:$I$874,B52)</f>
        <v>0</v>
      </c>
      <c r="V52" s="30">
        <f>COUNTIFS('AT. MEDICAS 2024'!$A$9:$A$874,"20/02/2025",'AT. MEDICAS 2024'!$I$9:$I$874,B52)</f>
        <v>0</v>
      </c>
      <c r="W52" s="30">
        <f>COUNTIFS('AT. MEDICAS 2024'!$A$9:$A$874,"21/02/2025",'AT. MEDICAS 2024'!$I$9:$I$874,B52)</f>
        <v>0</v>
      </c>
      <c r="X52" s="30">
        <f>COUNTIFS('AT. MEDICAS 2024'!$A$9:$A$874,"22/02/2025",'AT. MEDICAS 2024'!$I$9:$I$874,B52)</f>
        <v>0</v>
      </c>
      <c r="Y52" s="30">
        <f>COUNTIFS('AT. MEDICAS 2024'!$A$9:$A$874,"23/02/2025",'AT. MEDICAS 2024'!$I$9:$I$874,B52)</f>
        <v>0</v>
      </c>
      <c r="Z52" s="30">
        <f>COUNTIFS('AT. MEDICAS 2024'!$A$9:$A$874,"24/02/2025",'AT. MEDICAS 2024'!$I$9:$I$874,B52)</f>
        <v>0</v>
      </c>
      <c r="AA52" s="30">
        <f>COUNTIFS('AT. MEDICAS 2024'!$A$9:$A$874,"25/02/2025",'AT. MEDICAS 2024'!$I$9:$I$874,B52)</f>
        <v>0</v>
      </c>
      <c r="AB52" s="30">
        <f>COUNTIFS('AT. MEDICAS 2024'!$A$9:$A$874,"26/02/2025",'AT. MEDICAS 2024'!$I$9:$I$874,B52)</f>
        <v>0</v>
      </c>
      <c r="AC52" s="30">
        <f>COUNTIFS('AT. MEDICAS 2024'!$A$9:$A$874,"27/02/2025",'AT. MEDICAS 2024'!$I$9:$I$874,B52)</f>
        <v>0</v>
      </c>
      <c r="AD52" s="30">
        <f>COUNTIFS('AT. MEDICAS 2024'!$A$9:$A$874,"28/02/2025",'AT. MEDICAS 2024'!$I$9:$I$874,B52)</f>
        <v>0</v>
      </c>
      <c r="AE52" s="30"/>
      <c r="AF52" s="30"/>
      <c r="AG52" s="30"/>
      <c r="AH52" s="55">
        <f t="shared" si="13"/>
        <v>0</v>
      </c>
    </row>
    <row r="53" spans="1:34" ht="13.8" thickBot="1" x14ac:dyDescent="0.3">
      <c r="A53" s="41">
        <v>18</v>
      </c>
      <c r="B53" s="54" t="s">
        <v>190</v>
      </c>
      <c r="C53" s="30">
        <f>COUNTIFS('AT. MEDICAS 2024'!$A$9:$A$874,"01/02/2025",'AT. MEDICAS 2024'!$I$9:$I$874,B53)</f>
        <v>0</v>
      </c>
      <c r="D53" s="30">
        <f>COUNTIFS('AT. MEDICAS 2024'!$A$9:$A$874,"02/02/2025",'AT. MEDICAS 2024'!$I$9:$I$874,B53)</f>
        <v>0</v>
      </c>
      <c r="E53" s="30">
        <f>COUNTIFS('AT. MEDICAS 2024'!$A$9:$A$874,"03/02/2025",'AT. MEDICAS 2024'!$I$9:$I$874,B53)</f>
        <v>0</v>
      </c>
      <c r="F53" s="30">
        <f>COUNTIFS('AT. MEDICAS 2024'!$A$9:$A$874,"04/02/2025",'AT. MEDICAS 2024'!$I$9:$I$874,B53)</f>
        <v>0</v>
      </c>
      <c r="G53" s="30">
        <f>COUNTIFS('AT. MEDICAS 2024'!$A$9:$A$874,"05/02/2025",'AT. MEDICAS 2024'!$I$9:$I$874,B53)</f>
        <v>0</v>
      </c>
      <c r="H53" s="30">
        <f>COUNTIFS('AT. MEDICAS 2024'!$A$9:$A$874,"06/02/2025",'AT. MEDICAS 2024'!$I$9:$I$874,B53)</f>
        <v>0</v>
      </c>
      <c r="I53" s="30">
        <f>COUNTIFS('AT. MEDICAS 2024'!$A$9:$A$874,"07/02/2025",'AT. MEDICAS 2024'!$I$9:$I$874,B53)</f>
        <v>0</v>
      </c>
      <c r="J53" s="30">
        <f>COUNTIFS('AT. MEDICAS 2024'!$A$9:$A$874,"08/02/2025",'AT. MEDICAS 2024'!$I$9:$I$874,B53)</f>
        <v>0</v>
      </c>
      <c r="K53" s="30">
        <f>COUNTIFS('AT. MEDICAS 2024'!$A$9:$A$874,"09/02/2025",'AT. MEDICAS 2024'!$I$9:$I$874,B53)</f>
        <v>0</v>
      </c>
      <c r="L53" s="30">
        <f>COUNTIFS('AT. MEDICAS 2024'!$A$9:$A$874,"10/02/2025",'AT. MEDICAS 2024'!$I$9:$I$874,B53)</f>
        <v>0</v>
      </c>
      <c r="M53" s="30">
        <f>COUNTIFS('AT. MEDICAS 2024'!$A$9:$A$874,"11/02/2025",'AT. MEDICAS 2024'!$I$9:$I$874,B53)</f>
        <v>0</v>
      </c>
      <c r="N53" s="30">
        <f>COUNTIFS('AT. MEDICAS 2024'!$A$9:$A$874,"12/02/2025",'AT. MEDICAS 2024'!$I$9:$I$874,B53)</f>
        <v>0</v>
      </c>
      <c r="O53" s="30">
        <f>COUNTIFS('AT. MEDICAS 2024'!$A$9:$A$874,"13/02/2025",'AT. MEDICAS 2024'!$I$9:$I$874,B53)</f>
        <v>0</v>
      </c>
      <c r="P53" s="30">
        <f>COUNTIFS('AT. MEDICAS 2024'!$A$9:$A$874,"14/02/2025",'AT. MEDICAS 2024'!$I$9:$I$874,B53)</f>
        <v>0</v>
      </c>
      <c r="Q53" s="30">
        <f>COUNTIFS('AT. MEDICAS 2024'!$A$9:$A$874,"15/02/2025",'AT. MEDICAS 2024'!$I$9:$I$874,B53)</f>
        <v>0</v>
      </c>
      <c r="R53" s="30">
        <f>COUNTIFS('AT. MEDICAS 2024'!$A$9:$A$874,"16/02/2025",'AT. MEDICAS 2024'!$I$9:$I$874,B53)</f>
        <v>0</v>
      </c>
      <c r="S53" s="30">
        <f>COUNTIFS('AT. MEDICAS 2024'!$A$9:$A$874,"17/02/2025",'AT. MEDICAS 2024'!$I$9:$I$874,B53)</f>
        <v>0</v>
      </c>
      <c r="T53" s="30">
        <f>COUNTIFS('AT. MEDICAS 2024'!$A$9:$A$874,"18/02/2025",'AT. MEDICAS 2024'!$I$9:$I$874,B53)</f>
        <v>0</v>
      </c>
      <c r="U53" s="30">
        <f>COUNTIFS('AT. MEDICAS 2024'!$A$9:$A$874,"19/02/2025",'AT. MEDICAS 2024'!$I$9:$I$874,B53)</f>
        <v>0</v>
      </c>
      <c r="V53" s="30">
        <f>COUNTIFS('AT. MEDICAS 2024'!$A$9:$A$874,"20/02/2025",'AT. MEDICAS 2024'!$I$9:$I$874,B53)</f>
        <v>0</v>
      </c>
      <c r="W53" s="30">
        <f>COUNTIFS('AT. MEDICAS 2024'!$A$9:$A$874,"21/02/2025",'AT. MEDICAS 2024'!$I$9:$I$874,B53)</f>
        <v>0</v>
      </c>
      <c r="X53" s="30">
        <f>COUNTIFS('AT. MEDICAS 2024'!$A$9:$A$874,"22/02/2025",'AT. MEDICAS 2024'!$I$9:$I$874,B53)</f>
        <v>0</v>
      </c>
      <c r="Y53" s="30">
        <f>COUNTIFS('AT. MEDICAS 2024'!$A$9:$A$874,"23/02/2025",'AT. MEDICAS 2024'!$I$9:$I$874,B53)</f>
        <v>0</v>
      </c>
      <c r="Z53" s="30">
        <f>COUNTIFS('AT. MEDICAS 2024'!$A$9:$A$874,"24/02/2025",'AT. MEDICAS 2024'!$I$9:$I$874,B53)</f>
        <v>0</v>
      </c>
      <c r="AA53" s="30">
        <f>COUNTIFS('AT. MEDICAS 2024'!$A$9:$A$874,"25/02/2025",'AT. MEDICAS 2024'!$I$9:$I$874,B53)</f>
        <v>0</v>
      </c>
      <c r="AB53" s="30">
        <f>COUNTIFS('AT. MEDICAS 2024'!$A$9:$A$874,"26/02/2025",'AT. MEDICAS 2024'!$I$9:$I$874,B53)</f>
        <v>0</v>
      </c>
      <c r="AC53" s="30">
        <f>COUNTIFS('AT. MEDICAS 2024'!$A$9:$A$874,"27/02/2025",'AT. MEDICAS 2024'!$I$9:$I$874,B53)</f>
        <v>0</v>
      </c>
      <c r="AD53" s="30">
        <f>COUNTIFS('AT. MEDICAS 2024'!$A$9:$A$874,"28/02/2025",'AT. MEDICAS 2024'!$I$9:$I$874,B53)</f>
        <v>0</v>
      </c>
      <c r="AE53" s="30"/>
      <c r="AF53" s="30"/>
      <c r="AG53" s="30"/>
      <c r="AH53" s="55">
        <f t="shared" si="13"/>
        <v>0</v>
      </c>
    </row>
    <row r="54" spans="1:34" ht="13.8" thickBot="1" x14ac:dyDescent="0.3">
      <c r="A54" s="41">
        <v>19</v>
      </c>
      <c r="B54" s="54" t="s">
        <v>118</v>
      </c>
      <c r="C54" s="30">
        <f>COUNTIFS('AT. MEDICAS 2024'!$A$9:$A$874,"01/02/2025",'AT. MEDICAS 2024'!$I$9:$I$874,B54)</f>
        <v>0</v>
      </c>
      <c r="D54" s="30">
        <f>COUNTIFS('AT. MEDICAS 2024'!$A$9:$A$874,"02/02/2025",'AT. MEDICAS 2024'!$I$9:$I$874,B54)</f>
        <v>0</v>
      </c>
      <c r="E54" s="30">
        <f>COUNTIFS('AT. MEDICAS 2024'!$A$9:$A$874,"03/02/2025",'AT. MEDICAS 2024'!$I$9:$I$874,B54)</f>
        <v>0</v>
      </c>
      <c r="F54" s="30">
        <f>COUNTIFS('AT. MEDICAS 2024'!$A$9:$A$874,"04/02/2025",'AT. MEDICAS 2024'!$I$9:$I$874,B54)</f>
        <v>0</v>
      </c>
      <c r="G54" s="30">
        <f>COUNTIFS('AT. MEDICAS 2024'!$A$9:$A$874,"05/02/2025",'AT. MEDICAS 2024'!$I$9:$I$874,B54)</f>
        <v>0</v>
      </c>
      <c r="H54" s="30">
        <f>COUNTIFS('AT. MEDICAS 2024'!$A$9:$A$874,"06/02/2025",'AT. MEDICAS 2024'!$I$9:$I$874,B54)</f>
        <v>0</v>
      </c>
      <c r="I54" s="30">
        <f>COUNTIFS('AT. MEDICAS 2024'!$A$9:$A$874,"07/02/2025",'AT. MEDICAS 2024'!$I$9:$I$874,B54)</f>
        <v>0</v>
      </c>
      <c r="J54" s="30">
        <f>COUNTIFS('AT. MEDICAS 2024'!$A$9:$A$874,"08/02/2025",'AT. MEDICAS 2024'!$I$9:$I$874,B54)</f>
        <v>0</v>
      </c>
      <c r="K54" s="30">
        <f>COUNTIFS('AT. MEDICAS 2024'!$A$9:$A$874,"09/02/2025",'AT. MEDICAS 2024'!$I$9:$I$874,B54)</f>
        <v>0</v>
      </c>
      <c r="L54" s="30">
        <f>COUNTIFS('AT. MEDICAS 2024'!$A$9:$A$874,"10/02/2025",'AT. MEDICAS 2024'!$I$9:$I$874,B54)</f>
        <v>0</v>
      </c>
      <c r="M54" s="30">
        <f>COUNTIFS('AT. MEDICAS 2024'!$A$9:$A$874,"11/02/2025",'AT. MEDICAS 2024'!$I$9:$I$874,B54)</f>
        <v>0</v>
      </c>
      <c r="N54" s="30">
        <f>COUNTIFS('AT. MEDICAS 2024'!$A$9:$A$874,"12/02/2025",'AT. MEDICAS 2024'!$I$9:$I$874,B54)</f>
        <v>0</v>
      </c>
      <c r="O54" s="30">
        <f>COUNTIFS('AT. MEDICAS 2024'!$A$9:$A$874,"13/02/2025",'AT. MEDICAS 2024'!$I$9:$I$874,B54)</f>
        <v>0</v>
      </c>
      <c r="P54" s="30">
        <f>COUNTIFS('AT. MEDICAS 2024'!$A$9:$A$874,"14/02/2025",'AT. MEDICAS 2024'!$I$9:$I$874,B54)</f>
        <v>0</v>
      </c>
      <c r="Q54" s="30">
        <f>COUNTIFS('AT. MEDICAS 2024'!$A$9:$A$874,"15/02/2025",'AT. MEDICAS 2024'!$I$9:$I$874,B54)</f>
        <v>0</v>
      </c>
      <c r="R54" s="30">
        <f>COUNTIFS('AT. MEDICAS 2024'!$A$9:$A$874,"16/02/2025",'AT. MEDICAS 2024'!$I$9:$I$874,B54)</f>
        <v>0</v>
      </c>
      <c r="S54" s="30">
        <f>COUNTIFS('AT. MEDICAS 2024'!$A$9:$A$874,"17/02/2025",'AT. MEDICAS 2024'!$I$9:$I$874,B54)</f>
        <v>0</v>
      </c>
      <c r="T54" s="30">
        <f>COUNTIFS('AT. MEDICAS 2024'!$A$9:$A$874,"18/02/2025",'AT. MEDICAS 2024'!$I$9:$I$874,B54)</f>
        <v>0</v>
      </c>
      <c r="U54" s="30">
        <f>COUNTIFS('AT. MEDICAS 2024'!$A$9:$A$874,"19/02/2025",'AT. MEDICAS 2024'!$I$9:$I$874,B54)</f>
        <v>0</v>
      </c>
      <c r="V54" s="30">
        <f>COUNTIFS('AT. MEDICAS 2024'!$A$9:$A$874,"20/02/2025",'AT. MEDICAS 2024'!$I$9:$I$874,B54)</f>
        <v>0</v>
      </c>
      <c r="W54" s="30">
        <f>COUNTIFS('AT. MEDICAS 2024'!$A$9:$A$874,"21/02/2025",'AT. MEDICAS 2024'!$I$9:$I$874,B54)</f>
        <v>0</v>
      </c>
      <c r="X54" s="30">
        <f>COUNTIFS('AT. MEDICAS 2024'!$A$9:$A$874,"22/02/2025",'AT. MEDICAS 2024'!$I$9:$I$874,B54)</f>
        <v>0</v>
      </c>
      <c r="Y54" s="30">
        <f>COUNTIFS('AT. MEDICAS 2024'!$A$9:$A$874,"23/02/2025",'AT. MEDICAS 2024'!$I$9:$I$874,B54)</f>
        <v>0</v>
      </c>
      <c r="Z54" s="30">
        <f>COUNTIFS('AT. MEDICAS 2024'!$A$9:$A$874,"24/02/2025",'AT. MEDICAS 2024'!$I$9:$I$874,B54)</f>
        <v>0</v>
      </c>
      <c r="AA54" s="30">
        <f>COUNTIFS('AT. MEDICAS 2024'!$A$9:$A$874,"25/02/2025",'AT. MEDICAS 2024'!$I$9:$I$874,B54)</f>
        <v>0</v>
      </c>
      <c r="AB54" s="30">
        <f>COUNTIFS('AT. MEDICAS 2024'!$A$9:$A$874,"26/02/2025",'AT. MEDICAS 2024'!$I$9:$I$874,B54)</f>
        <v>0</v>
      </c>
      <c r="AC54" s="30">
        <f>COUNTIFS('AT. MEDICAS 2024'!$A$9:$A$874,"27/02/2025",'AT. MEDICAS 2024'!$I$9:$I$874,B54)</f>
        <v>0</v>
      </c>
      <c r="AD54" s="30">
        <f>COUNTIFS('AT. MEDICAS 2024'!$A$9:$A$874,"28/02/2025",'AT. MEDICAS 2024'!$I$9:$I$874,B54)</f>
        <v>0</v>
      </c>
      <c r="AE54" s="30"/>
      <c r="AF54" s="30"/>
      <c r="AG54" s="30"/>
      <c r="AH54" s="55">
        <f t="shared" si="13"/>
        <v>0</v>
      </c>
    </row>
    <row r="55" spans="1:34" ht="13.8" thickBot="1" x14ac:dyDescent="0.3">
      <c r="A55" s="41">
        <v>20</v>
      </c>
      <c r="B55" s="54" t="s">
        <v>31</v>
      </c>
      <c r="C55" s="30">
        <f>COUNTIFS('AT. MEDICAS 2024'!$A$9:$A$874,"01/02/2025",'AT. MEDICAS 2024'!$I$9:$I$874,B55)</f>
        <v>0</v>
      </c>
      <c r="D55" s="30">
        <f>COUNTIFS('AT. MEDICAS 2024'!$A$9:$A$874,"02/02/2025",'AT. MEDICAS 2024'!$I$9:$I$874,B55)</f>
        <v>0</v>
      </c>
      <c r="E55" s="30">
        <f>COUNTIFS('AT. MEDICAS 2024'!$A$9:$A$874,"03/02/2025",'AT. MEDICAS 2024'!$I$9:$I$874,B55)</f>
        <v>0</v>
      </c>
      <c r="F55" s="30">
        <f>COUNTIFS('AT. MEDICAS 2024'!$A$9:$A$874,"04/02/2025",'AT. MEDICAS 2024'!$I$9:$I$874,B55)</f>
        <v>0</v>
      </c>
      <c r="G55" s="30">
        <f>COUNTIFS('AT. MEDICAS 2024'!$A$9:$A$874,"05/02/2025",'AT. MEDICAS 2024'!$I$9:$I$874,B55)</f>
        <v>0</v>
      </c>
      <c r="H55" s="30">
        <f>COUNTIFS('AT. MEDICAS 2024'!$A$9:$A$874,"06/02/2025",'AT. MEDICAS 2024'!$I$9:$I$874,B55)</f>
        <v>0</v>
      </c>
      <c r="I55" s="30">
        <f>COUNTIFS('AT. MEDICAS 2024'!$A$9:$A$874,"07/02/2025",'AT. MEDICAS 2024'!$I$9:$I$874,B55)</f>
        <v>0</v>
      </c>
      <c r="J55" s="30">
        <f>COUNTIFS('AT. MEDICAS 2024'!$A$9:$A$874,"08/02/2025",'AT. MEDICAS 2024'!$I$9:$I$874,B55)</f>
        <v>0</v>
      </c>
      <c r="K55" s="30">
        <f>COUNTIFS('AT. MEDICAS 2024'!$A$9:$A$874,"09/02/2025",'AT. MEDICAS 2024'!$I$9:$I$874,B55)</f>
        <v>0</v>
      </c>
      <c r="L55" s="30">
        <f>COUNTIFS('AT. MEDICAS 2024'!$A$9:$A$874,"10/02/2025",'AT. MEDICAS 2024'!$I$9:$I$874,B55)</f>
        <v>0</v>
      </c>
      <c r="M55" s="30">
        <f>COUNTIFS('AT. MEDICAS 2024'!$A$9:$A$874,"11/02/2025",'AT. MEDICAS 2024'!$I$9:$I$874,B55)</f>
        <v>0</v>
      </c>
      <c r="N55" s="30">
        <f>COUNTIFS('AT. MEDICAS 2024'!$A$9:$A$874,"12/02/2025",'AT. MEDICAS 2024'!$I$9:$I$874,B55)</f>
        <v>0</v>
      </c>
      <c r="O55" s="30">
        <f>COUNTIFS('AT. MEDICAS 2024'!$A$9:$A$874,"13/02/2025",'AT. MEDICAS 2024'!$I$9:$I$874,B55)</f>
        <v>0</v>
      </c>
      <c r="P55" s="30">
        <f>COUNTIFS('AT. MEDICAS 2024'!$A$9:$A$874,"14/02/2025",'AT. MEDICAS 2024'!$I$9:$I$874,B55)</f>
        <v>0</v>
      </c>
      <c r="Q55" s="30">
        <f>COUNTIFS('AT. MEDICAS 2024'!$A$9:$A$874,"15/02/2025",'AT. MEDICAS 2024'!$I$9:$I$874,B55)</f>
        <v>0</v>
      </c>
      <c r="R55" s="30">
        <f>COUNTIFS('AT. MEDICAS 2024'!$A$9:$A$874,"16/02/2025",'AT. MEDICAS 2024'!$I$9:$I$874,B55)</f>
        <v>0</v>
      </c>
      <c r="S55" s="30">
        <f>COUNTIFS('AT. MEDICAS 2024'!$A$9:$A$874,"17/02/2025",'AT. MEDICAS 2024'!$I$9:$I$874,B55)</f>
        <v>0</v>
      </c>
      <c r="T55" s="30">
        <f>COUNTIFS('AT. MEDICAS 2024'!$A$9:$A$874,"18/02/2025",'AT. MEDICAS 2024'!$I$9:$I$874,B55)</f>
        <v>0</v>
      </c>
      <c r="U55" s="30">
        <f>COUNTIFS('AT. MEDICAS 2024'!$A$9:$A$874,"19/02/2025",'AT. MEDICAS 2024'!$I$9:$I$874,B55)</f>
        <v>0</v>
      </c>
      <c r="V55" s="30">
        <f>COUNTIFS('AT. MEDICAS 2024'!$A$9:$A$874,"20/02/2025",'AT. MEDICAS 2024'!$I$9:$I$874,B55)</f>
        <v>0</v>
      </c>
      <c r="W55" s="30">
        <f>COUNTIFS('AT. MEDICAS 2024'!$A$9:$A$874,"21/02/2025",'AT. MEDICAS 2024'!$I$9:$I$874,B55)</f>
        <v>0</v>
      </c>
      <c r="X55" s="30">
        <f>COUNTIFS('AT. MEDICAS 2024'!$A$9:$A$874,"22/02/2025",'AT. MEDICAS 2024'!$I$9:$I$874,B55)</f>
        <v>0</v>
      </c>
      <c r="Y55" s="30">
        <f>COUNTIFS('AT. MEDICAS 2024'!$A$9:$A$874,"23/02/2025",'AT. MEDICAS 2024'!$I$9:$I$874,B55)</f>
        <v>0</v>
      </c>
      <c r="Z55" s="30">
        <f>COUNTIFS('AT. MEDICAS 2024'!$A$9:$A$874,"24/02/2025",'AT. MEDICAS 2024'!$I$9:$I$874,B55)</f>
        <v>0</v>
      </c>
      <c r="AA55" s="30">
        <f>COUNTIFS('AT. MEDICAS 2024'!$A$9:$A$874,"25/02/2025",'AT. MEDICAS 2024'!$I$9:$I$874,B55)</f>
        <v>0</v>
      </c>
      <c r="AB55" s="30">
        <f>COUNTIFS('AT. MEDICAS 2024'!$A$9:$A$874,"26/02/2025",'AT. MEDICAS 2024'!$I$9:$I$874,B55)</f>
        <v>0</v>
      </c>
      <c r="AC55" s="30">
        <f>COUNTIFS('AT. MEDICAS 2024'!$A$9:$A$874,"27/02/2025",'AT. MEDICAS 2024'!$I$9:$I$874,B55)</f>
        <v>0</v>
      </c>
      <c r="AD55" s="30">
        <f>COUNTIFS('AT. MEDICAS 2024'!$A$9:$A$874,"28/02/2025",'AT. MEDICAS 2024'!$I$9:$I$874,B55)</f>
        <v>0</v>
      </c>
      <c r="AE55" s="30"/>
      <c r="AF55" s="30"/>
      <c r="AG55" s="30"/>
      <c r="AH55" s="55">
        <f t="shared" si="13"/>
        <v>0</v>
      </c>
    </row>
    <row r="56" spans="1:34" ht="18.600000000000001" customHeight="1" thickBot="1" x14ac:dyDescent="0.3">
      <c r="A56" s="92"/>
      <c r="B56" s="93"/>
      <c r="C56" s="55">
        <f>SUM(C36:C55)</f>
        <v>0</v>
      </c>
      <c r="D56" s="55">
        <f t="shared" ref="D56:AE56" si="14">SUM(D36:D55)</f>
        <v>0</v>
      </c>
      <c r="E56" s="55">
        <f t="shared" si="14"/>
        <v>0</v>
      </c>
      <c r="F56" s="55">
        <f t="shared" si="14"/>
        <v>0</v>
      </c>
      <c r="G56" s="55">
        <f t="shared" si="14"/>
        <v>0</v>
      </c>
      <c r="H56" s="55">
        <f t="shared" si="14"/>
        <v>0</v>
      </c>
      <c r="I56" s="55">
        <f t="shared" si="14"/>
        <v>0</v>
      </c>
      <c r="J56" s="55">
        <f t="shared" si="14"/>
        <v>0</v>
      </c>
      <c r="K56" s="55">
        <f t="shared" si="14"/>
        <v>0</v>
      </c>
      <c r="L56" s="55">
        <f t="shared" si="14"/>
        <v>0</v>
      </c>
      <c r="M56" s="55">
        <f t="shared" si="14"/>
        <v>0</v>
      </c>
      <c r="N56" s="55">
        <f t="shared" si="14"/>
        <v>0</v>
      </c>
      <c r="O56" s="55">
        <f t="shared" si="14"/>
        <v>0</v>
      </c>
      <c r="P56" s="55">
        <f t="shared" si="14"/>
        <v>0</v>
      </c>
      <c r="Q56" s="55">
        <f t="shared" si="14"/>
        <v>0</v>
      </c>
      <c r="R56" s="55">
        <f t="shared" si="14"/>
        <v>0</v>
      </c>
      <c r="S56" s="55">
        <f t="shared" si="14"/>
        <v>0</v>
      </c>
      <c r="T56" s="55">
        <f t="shared" si="14"/>
        <v>0</v>
      </c>
      <c r="U56" s="55">
        <f t="shared" si="14"/>
        <v>0</v>
      </c>
      <c r="V56" s="55">
        <f t="shared" si="14"/>
        <v>0</v>
      </c>
      <c r="W56" s="55">
        <f t="shared" si="14"/>
        <v>0</v>
      </c>
      <c r="X56" s="55">
        <f t="shared" si="14"/>
        <v>0</v>
      </c>
      <c r="Y56" s="55">
        <f t="shared" si="14"/>
        <v>0</v>
      </c>
      <c r="Z56" s="55">
        <f t="shared" si="14"/>
        <v>0</v>
      </c>
      <c r="AA56" s="55">
        <f t="shared" si="14"/>
        <v>0</v>
      </c>
      <c r="AB56" s="55">
        <f t="shared" si="14"/>
        <v>0</v>
      </c>
      <c r="AC56" s="55">
        <f t="shared" si="14"/>
        <v>0</v>
      </c>
      <c r="AD56" s="55">
        <f t="shared" si="14"/>
        <v>0</v>
      </c>
      <c r="AE56" s="55">
        <f t="shared" si="14"/>
        <v>0</v>
      </c>
      <c r="AF56" s="55">
        <f>SUM(AF36:AF55)</f>
        <v>0</v>
      </c>
      <c r="AG56" s="55">
        <f>SUM(AG36:AG55)</f>
        <v>0</v>
      </c>
      <c r="AH56" s="30">
        <f>SUM(AH36:AH55)</f>
        <v>0</v>
      </c>
    </row>
    <row r="57" spans="1:34" s="60" customFormat="1" x14ac:dyDescent="0.25">
      <c r="A57" s="58"/>
      <c r="B57" s="59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7"/>
    </row>
    <row r="58" spans="1:34" ht="28.2" customHeight="1" x14ac:dyDescent="0.25">
      <c r="A58" s="92" t="s">
        <v>174</v>
      </c>
      <c r="B58" s="93"/>
      <c r="C58" s="111">
        <v>45717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3" t="s">
        <v>178</v>
      </c>
    </row>
    <row r="59" spans="1:34" ht="13.8" thickBot="1" x14ac:dyDescent="0.3">
      <c r="A59" s="115" t="s">
        <v>175</v>
      </c>
      <c r="B59" s="115" t="s">
        <v>176</v>
      </c>
      <c r="C59" s="45">
        <v>1</v>
      </c>
      <c r="D59" s="45">
        <v>2</v>
      </c>
      <c r="E59" s="45">
        <v>3</v>
      </c>
      <c r="F59" s="45">
        <v>4</v>
      </c>
      <c r="G59" s="45">
        <v>5</v>
      </c>
      <c r="H59" s="45">
        <v>6</v>
      </c>
      <c r="I59" s="45">
        <v>7</v>
      </c>
      <c r="J59" s="45">
        <v>8</v>
      </c>
      <c r="K59" s="45">
        <v>9</v>
      </c>
      <c r="L59" s="45">
        <v>10</v>
      </c>
      <c r="M59" s="45">
        <v>11</v>
      </c>
      <c r="N59" s="45">
        <v>12</v>
      </c>
      <c r="O59" s="45">
        <v>13</v>
      </c>
      <c r="P59" s="45">
        <v>14</v>
      </c>
      <c r="Q59" s="45">
        <v>15</v>
      </c>
      <c r="R59" s="45">
        <v>16</v>
      </c>
      <c r="S59" s="45">
        <v>17</v>
      </c>
      <c r="T59" s="45">
        <v>18</v>
      </c>
      <c r="U59" s="45">
        <v>19</v>
      </c>
      <c r="V59" s="45">
        <v>20</v>
      </c>
      <c r="W59" s="45">
        <v>21</v>
      </c>
      <c r="X59" s="45">
        <v>22</v>
      </c>
      <c r="Y59" s="45">
        <v>23</v>
      </c>
      <c r="Z59" s="45">
        <v>24</v>
      </c>
      <c r="AA59" s="45">
        <v>25</v>
      </c>
      <c r="AB59" s="45">
        <v>26</v>
      </c>
      <c r="AC59" s="45">
        <v>27</v>
      </c>
      <c r="AD59" s="45">
        <v>28</v>
      </c>
      <c r="AE59" s="45">
        <v>29</v>
      </c>
      <c r="AF59" s="45">
        <v>30</v>
      </c>
      <c r="AG59" s="45" t="s">
        <v>177</v>
      </c>
      <c r="AH59" s="114"/>
    </row>
    <row r="60" spans="1:34" ht="13.8" thickBot="1" x14ac:dyDescent="0.3">
      <c r="A60" s="116"/>
      <c r="B60" s="116"/>
      <c r="C60" s="28" t="s">
        <v>182</v>
      </c>
      <c r="D60" s="28" t="s">
        <v>183</v>
      </c>
      <c r="E60" s="28" t="s">
        <v>179</v>
      </c>
      <c r="F60" s="28" t="s">
        <v>24</v>
      </c>
      <c r="G60" s="28" t="s">
        <v>24</v>
      </c>
      <c r="H60" s="28" t="s">
        <v>180</v>
      </c>
      <c r="I60" s="28" t="s">
        <v>181</v>
      </c>
      <c r="J60" s="28" t="s">
        <v>182</v>
      </c>
      <c r="K60" s="28" t="s">
        <v>183</v>
      </c>
      <c r="L60" s="28" t="s">
        <v>179</v>
      </c>
      <c r="M60" s="28" t="s">
        <v>24</v>
      </c>
      <c r="N60" s="28" t="s">
        <v>24</v>
      </c>
      <c r="O60" s="28" t="s">
        <v>180</v>
      </c>
      <c r="P60" s="28" t="s">
        <v>181</v>
      </c>
      <c r="Q60" s="28" t="s">
        <v>182</v>
      </c>
      <c r="R60" s="28" t="s">
        <v>183</v>
      </c>
      <c r="S60" s="28" t="s">
        <v>179</v>
      </c>
      <c r="T60" s="28" t="s">
        <v>24</v>
      </c>
      <c r="U60" s="28" t="s">
        <v>24</v>
      </c>
      <c r="V60" s="28" t="s">
        <v>180</v>
      </c>
      <c r="W60" s="28" t="s">
        <v>181</v>
      </c>
      <c r="X60" s="28" t="s">
        <v>182</v>
      </c>
      <c r="Y60" s="28" t="s">
        <v>183</v>
      </c>
      <c r="Z60" s="28" t="s">
        <v>179</v>
      </c>
      <c r="AA60" s="28" t="s">
        <v>24</v>
      </c>
      <c r="AB60" s="28" t="s">
        <v>24</v>
      </c>
      <c r="AC60" s="28" t="s">
        <v>180</v>
      </c>
      <c r="AD60" s="28" t="s">
        <v>181</v>
      </c>
      <c r="AE60" s="28" t="s">
        <v>182</v>
      </c>
      <c r="AF60" s="28" t="s">
        <v>183</v>
      </c>
      <c r="AG60" s="28" t="s">
        <v>179</v>
      </c>
      <c r="AH60" s="17" t="s">
        <v>184</v>
      </c>
    </row>
    <row r="61" spans="1:34" ht="13.8" thickBot="1" x14ac:dyDescent="0.3">
      <c r="A61" s="41">
        <v>1</v>
      </c>
      <c r="B61" s="54" t="s">
        <v>185</v>
      </c>
      <c r="C61" s="30">
        <f>COUNTIFS('AT. MEDICAS 2024'!$A$9:$A$874,"01/03/2025",'AT. MEDICAS 2024'!$I$9:$I$874,B61)</f>
        <v>0</v>
      </c>
      <c r="D61" s="30">
        <f>COUNTIFS('AT. MEDICAS 2024'!$A$9:$A$874,"02/03/2025",'AT. MEDICAS 2024'!$I$9:$I$874,B61)</f>
        <v>0</v>
      </c>
      <c r="E61" s="30">
        <f>COUNTIFS('AT. MEDICAS 2024'!$A$9:$A$874,"03/03/2025",'AT. MEDICAS 2024'!$I$9:$I$874,B61)</f>
        <v>0</v>
      </c>
      <c r="F61" s="30">
        <f>COUNTIFS('AT. MEDICAS 2024'!$A$9:$A$874,"04/03/2025",'AT. MEDICAS 2024'!$I$9:$I$874,B61)</f>
        <v>0</v>
      </c>
      <c r="G61" s="30">
        <f>COUNTIFS('AT. MEDICAS 2024'!$A$9:$A$874,"05/03/2025",'AT. MEDICAS 2024'!$I$9:$I$874,B61)</f>
        <v>0</v>
      </c>
      <c r="H61" s="30">
        <f>COUNTIFS('AT. MEDICAS 2024'!$A$9:$A$874,"06/03/2025",'AT. MEDICAS 2024'!$I$9:$I$874,B61)</f>
        <v>0</v>
      </c>
      <c r="I61" s="30">
        <f>COUNTIFS('AT. MEDICAS 2024'!$A$9:$A$874,"07/03/2025",'AT. MEDICAS 2024'!$I$9:$I$874,B61)</f>
        <v>0</v>
      </c>
      <c r="J61" s="30">
        <f>COUNTIFS('AT. MEDICAS 2024'!$A$9:$A$874,"08/03/2025",'AT. MEDICAS 2024'!$I$9:$I$874,B61)</f>
        <v>0</v>
      </c>
      <c r="K61" s="30">
        <f>COUNTIFS('AT. MEDICAS 2024'!$A$9:$A$874,"09/03/2025",'AT. MEDICAS 2024'!$I$9:$I$874,B61)</f>
        <v>0</v>
      </c>
      <c r="L61" s="30">
        <f>COUNTIFS('AT. MEDICAS 2024'!$A$9:$A$874,"10/03/2025",'AT. MEDICAS 2024'!$I$9:$I$874,B61)</f>
        <v>0</v>
      </c>
      <c r="M61" s="30">
        <f>COUNTIFS('AT. MEDICAS 2024'!$A$9:$A$874,"11/03/2025",'AT. MEDICAS 2024'!$I$9:$I$874,B61)</f>
        <v>0</v>
      </c>
      <c r="N61" s="30">
        <f>COUNTIFS('AT. MEDICAS 2024'!$A$9:$A$874,"12/03/2025",'AT. MEDICAS 2024'!$I$9:$I$874,B61)</f>
        <v>0</v>
      </c>
      <c r="O61" s="30">
        <f>COUNTIFS('AT. MEDICAS 2024'!$A$9:$A$874,"13/03/2025",'AT. MEDICAS 2024'!$I$9:$I$874,B61)</f>
        <v>0</v>
      </c>
      <c r="P61" s="30">
        <f>COUNTIFS('AT. MEDICAS 2024'!$A$9:$A$874,"14/03/2025",'AT. MEDICAS 2024'!$I$9:$I$874,B61)</f>
        <v>0</v>
      </c>
      <c r="Q61" s="30">
        <f>COUNTIFS('AT. MEDICAS 2024'!$A$9:$A$874,"15/03/2025",'AT. MEDICAS 2024'!$I$9:$I$874,B61)</f>
        <v>0</v>
      </c>
      <c r="R61" s="30">
        <f>COUNTIFS('AT. MEDICAS 2024'!$A$9:$A$874,"16/03/2025",'AT. MEDICAS 2024'!$I$9:$I$874,B61)</f>
        <v>0</v>
      </c>
      <c r="S61" s="30">
        <f>COUNTIFS('AT. MEDICAS 2024'!$A$9:$A$874,"17/03/2025",'AT. MEDICAS 2024'!$I$9:$I$874,B61)</f>
        <v>0</v>
      </c>
      <c r="T61" s="30">
        <f>COUNTIFS('AT. MEDICAS 2024'!$A$9:$A$874,"18/03/2025",'AT. MEDICAS 2024'!$I$9:$I$874,B61)</f>
        <v>0</v>
      </c>
      <c r="U61" s="30">
        <f>COUNTIFS('AT. MEDICAS 2024'!$A$9:$A$874,"19/03/2025",'AT. MEDICAS 2024'!$I$9:$I$874,B61)</f>
        <v>0</v>
      </c>
      <c r="V61" s="30">
        <f>COUNTIFS('AT. MEDICAS 2024'!$A$9:$A$874,"20/03/2025",'AT. MEDICAS 2024'!$I$9:$I$874,B61)</f>
        <v>0</v>
      </c>
      <c r="W61" s="30">
        <f>COUNTIFS('AT. MEDICAS 2024'!$A$9:$A$874,"21/03/2025",'AT. MEDICAS 2024'!$I$9:$I$874,B61)</f>
        <v>0</v>
      </c>
      <c r="X61" s="30">
        <f>COUNTIFS('AT. MEDICAS 2024'!$A$9:$A$874,"22/03/2025",'AT. MEDICAS 2024'!$I$9:$I$874,B61)</f>
        <v>0</v>
      </c>
      <c r="Y61" s="30">
        <f>COUNTIFS('AT. MEDICAS 2024'!$A$9:$A$874,"23/03/2025",'AT. MEDICAS 2024'!$I$9:$I$874,B61)</f>
        <v>0</v>
      </c>
      <c r="Z61" s="30">
        <f>COUNTIFS('AT. MEDICAS 2024'!$A$9:$A$874,"24/03/2025",'AT. MEDICAS 2024'!$I$9:$I$874,B61)</f>
        <v>0</v>
      </c>
      <c r="AA61" s="30">
        <f>COUNTIFS('AT. MEDICAS 2024'!$A$9:$A$874,"25/03/2025",'AT. MEDICAS 2024'!$I$9:$I$874,B61)</f>
        <v>0</v>
      </c>
      <c r="AB61" s="30">
        <f>COUNTIFS('AT. MEDICAS 2024'!$A$9:$A$874,"26/03/2025",'AT. MEDICAS 2024'!$I$9:$I$874,B61)</f>
        <v>0</v>
      </c>
      <c r="AC61" s="30">
        <f>COUNTIFS('AT. MEDICAS 2024'!$A$9:$A$874,"27/03/2025",'AT. MEDICAS 2024'!$I$9:$I$874,B61)</f>
        <v>0</v>
      </c>
      <c r="AD61" s="30">
        <f>COUNTIFS('AT. MEDICAS 2024'!$A$9:$A$874,"28/03/2025",'AT. MEDICAS 2024'!$I$9:$I$874,B61)</f>
        <v>0</v>
      </c>
      <c r="AE61" s="30">
        <f>COUNTIFS('AT. MEDICAS 2024'!$A$9:$A$874,"29/03/2025",'AT. MEDICAS 2024'!$I$9:$I$874,B61)</f>
        <v>0</v>
      </c>
      <c r="AF61" s="30">
        <f>COUNTIFS('AT. MEDICAS 2024'!$A$9:$A$874,"30/03/2025",'AT. MEDICAS 2024'!$I$9:$I$874,B61)</f>
        <v>0</v>
      </c>
      <c r="AG61" s="30">
        <f>COUNTIFS('AT. MEDICAS 2024'!$A$9:$A$874,"31/03/2025",'AT. MEDICAS 2024'!$I$9:$I$874,B61)</f>
        <v>0</v>
      </c>
      <c r="AH61" s="55">
        <f t="shared" ref="AH61:AH80" si="15">SUM(C61:AG61)</f>
        <v>0</v>
      </c>
    </row>
    <row r="62" spans="1:34" ht="13.8" thickBot="1" x14ac:dyDescent="0.3">
      <c r="A62" s="41">
        <v>2</v>
      </c>
      <c r="B62" s="54" t="s">
        <v>186</v>
      </c>
      <c r="C62" s="30">
        <f>COUNTIFS('AT. MEDICAS 2024'!$A$9:$A$874,"01/03/2025",'AT. MEDICAS 2024'!$I$9:$I$874,B62)</f>
        <v>0</v>
      </c>
      <c r="D62" s="30">
        <f>COUNTIFS('AT. MEDICAS 2024'!$A$9:$A$874,"02/03/2025",'AT. MEDICAS 2024'!$I$9:$I$874,B62)</f>
        <v>0</v>
      </c>
      <c r="E62" s="30">
        <f>COUNTIFS('AT. MEDICAS 2024'!$A$9:$A$874,"03/03/2025",'AT. MEDICAS 2024'!$I$9:$I$874,B62)</f>
        <v>0</v>
      </c>
      <c r="F62" s="30">
        <f>COUNTIFS('AT. MEDICAS 2024'!$A$9:$A$874,"04/03/2025",'AT. MEDICAS 2024'!$I$9:$I$874,B62)</f>
        <v>0</v>
      </c>
      <c r="G62" s="30">
        <f>COUNTIFS('AT. MEDICAS 2024'!$A$9:$A$874,"05/03/2025",'AT. MEDICAS 2024'!$I$9:$I$874,B62)</f>
        <v>0</v>
      </c>
      <c r="H62" s="30">
        <f>COUNTIFS('AT. MEDICAS 2024'!$A$9:$A$874,"06/03/2025",'AT. MEDICAS 2024'!$I$9:$I$874,B62)</f>
        <v>0</v>
      </c>
      <c r="I62" s="30">
        <f>COUNTIFS('AT. MEDICAS 2024'!$A$9:$A$874,"07/03/2025",'AT. MEDICAS 2024'!$I$9:$I$874,B62)</f>
        <v>0</v>
      </c>
      <c r="J62" s="30">
        <f>COUNTIFS('AT. MEDICAS 2024'!$A$9:$A$874,"08/03/2025",'AT. MEDICAS 2024'!$I$9:$I$874,B62)</f>
        <v>0</v>
      </c>
      <c r="K62" s="30">
        <f>COUNTIFS('AT. MEDICAS 2024'!$A$9:$A$874,"09/03/2025",'AT. MEDICAS 2024'!$I$9:$I$874,B62)</f>
        <v>0</v>
      </c>
      <c r="L62" s="30">
        <f>COUNTIFS('AT. MEDICAS 2024'!$A$9:$A$874,"10/03/2025",'AT. MEDICAS 2024'!$I$9:$I$874,B62)</f>
        <v>0</v>
      </c>
      <c r="M62" s="30">
        <f>COUNTIFS('AT. MEDICAS 2024'!$A$9:$A$874,"11/03/2025",'AT. MEDICAS 2024'!$I$9:$I$874,B62)</f>
        <v>0</v>
      </c>
      <c r="N62" s="30">
        <f>COUNTIFS('AT. MEDICAS 2024'!$A$9:$A$874,"12/03/2025",'AT. MEDICAS 2024'!$I$9:$I$874,B62)</f>
        <v>0</v>
      </c>
      <c r="O62" s="30">
        <f>COUNTIFS('AT. MEDICAS 2024'!$A$9:$A$874,"13/03/2025",'AT. MEDICAS 2024'!$I$9:$I$874,B62)</f>
        <v>0</v>
      </c>
      <c r="P62" s="30">
        <f>COUNTIFS('AT. MEDICAS 2024'!$A$9:$A$874,"14/03/2025",'AT. MEDICAS 2024'!$I$9:$I$874,B62)</f>
        <v>0</v>
      </c>
      <c r="Q62" s="30">
        <f>COUNTIFS('AT. MEDICAS 2024'!$A$9:$A$874,"15/03/2025",'AT. MEDICAS 2024'!$I$9:$I$874,B62)</f>
        <v>0</v>
      </c>
      <c r="R62" s="30">
        <f>COUNTIFS('AT. MEDICAS 2024'!$A$9:$A$874,"16/03/2025",'AT. MEDICAS 2024'!$I$9:$I$874,B62)</f>
        <v>0</v>
      </c>
      <c r="S62" s="30">
        <f>COUNTIFS('AT. MEDICAS 2024'!$A$9:$A$874,"17/03/2025",'AT. MEDICAS 2024'!$I$9:$I$874,B62)</f>
        <v>0</v>
      </c>
      <c r="T62" s="30">
        <f>COUNTIFS('AT. MEDICAS 2024'!$A$9:$A$874,"18/03/2025",'AT. MEDICAS 2024'!$I$9:$I$874,B62)</f>
        <v>0</v>
      </c>
      <c r="U62" s="30">
        <f>COUNTIFS('AT. MEDICAS 2024'!$A$9:$A$874,"19/03/2025",'AT. MEDICAS 2024'!$I$9:$I$874,B62)</f>
        <v>0</v>
      </c>
      <c r="V62" s="30">
        <f>COUNTIFS('AT. MEDICAS 2024'!$A$9:$A$874,"20/03/2025",'AT. MEDICAS 2024'!$I$9:$I$874,B62)</f>
        <v>0</v>
      </c>
      <c r="W62" s="30">
        <f>COUNTIFS('AT. MEDICAS 2024'!$A$9:$A$874,"21/03/2025",'AT. MEDICAS 2024'!$I$9:$I$874,B62)</f>
        <v>0</v>
      </c>
      <c r="X62" s="30">
        <f>COUNTIFS('AT. MEDICAS 2024'!$A$9:$A$874,"22/03/2025",'AT. MEDICAS 2024'!$I$9:$I$874,B62)</f>
        <v>0</v>
      </c>
      <c r="Y62" s="30">
        <f>COUNTIFS('AT. MEDICAS 2024'!$A$9:$A$874,"23/03/2025",'AT. MEDICAS 2024'!$I$9:$I$874,B62)</f>
        <v>0</v>
      </c>
      <c r="Z62" s="30">
        <f>COUNTIFS('AT. MEDICAS 2024'!$A$9:$A$874,"24/03/2025",'AT. MEDICAS 2024'!$I$9:$I$874,B62)</f>
        <v>0</v>
      </c>
      <c r="AA62" s="30">
        <f>COUNTIFS('AT. MEDICAS 2024'!$A$9:$A$874,"25/03/2025",'AT. MEDICAS 2024'!$I$9:$I$874,B62)</f>
        <v>0</v>
      </c>
      <c r="AB62" s="30">
        <f>COUNTIFS('AT. MEDICAS 2024'!$A$9:$A$874,"26/03/2025",'AT. MEDICAS 2024'!$I$9:$I$874,B62)</f>
        <v>0</v>
      </c>
      <c r="AC62" s="30">
        <f>COUNTIFS('AT. MEDICAS 2024'!$A$9:$A$874,"27/03/2025",'AT. MEDICAS 2024'!$I$9:$I$874,B62)</f>
        <v>0</v>
      </c>
      <c r="AD62" s="30">
        <f>COUNTIFS('AT. MEDICAS 2024'!$A$9:$A$874,"28/03/2025",'AT. MEDICAS 2024'!$I$9:$I$874,B62)</f>
        <v>0</v>
      </c>
      <c r="AE62" s="30">
        <f>COUNTIFS('AT. MEDICAS 2024'!$A$9:$A$874,"29/03/2025",'AT. MEDICAS 2024'!$I$9:$I$874,B62)</f>
        <v>0</v>
      </c>
      <c r="AF62" s="30">
        <f>COUNTIFS('AT. MEDICAS 2024'!$A$9:$A$874,"30/03/2025",'AT. MEDICAS 2024'!$I$9:$I$874,B62)</f>
        <v>0</v>
      </c>
      <c r="AG62" s="30">
        <f>COUNTIFS('AT. MEDICAS 2024'!$A$9:$A$874,"31/03/2025",'AT. MEDICAS 2024'!$I$9:$I$874,B62)</f>
        <v>0</v>
      </c>
      <c r="AH62" s="55">
        <f t="shared" si="15"/>
        <v>0</v>
      </c>
    </row>
    <row r="63" spans="1:34" ht="13.8" thickBot="1" x14ac:dyDescent="0.3">
      <c r="A63" s="41">
        <v>3</v>
      </c>
      <c r="B63" s="54" t="s">
        <v>94</v>
      </c>
      <c r="C63" s="30">
        <f>COUNTIFS('AT. MEDICAS 2024'!$A$9:$A$874,"01/03/2025",'AT. MEDICAS 2024'!$I$9:$I$874,B63)</f>
        <v>0</v>
      </c>
      <c r="D63" s="30">
        <f>COUNTIFS('AT. MEDICAS 2024'!$A$9:$A$874,"02/03/2025",'AT. MEDICAS 2024'!$I$9:$I$874,B63)</f>
        <v>0</v>
      </c>
      <c r="E63" s="30">
        <f>COUNTIFS('AT. MEDICAS 2024'!$A$9:$A$874,"03/03/2025",'AT. MEDICAS 2024'!$I$9:$I$874,B63)</f>
        <v>0</v>
      </c>
      <c r="F63" s="30">
        <f>COUNTIFS('AT. MEDICAS 2024'!$A$9:$A$874,"04/03/2025",'AT. MEDICAS 2024'!$I$9:$I$874,B63)</f>
        <v>0</v>
      </c>
      <c r="G63" s="30">
        <f>COUNTIFS('AT. MEDICAS 2024'!$A$9:$A$874,"05/03/2025",'AT. MEDICAS 2024'!$I$9:$I$874,B63)</f>
        <v>0</v>
      </c>
      <c r="H63" s="30">
        <f>COUNTIFS('AT. MEDICAS 2024'!$A$9:$A$874,"06/03/2025",'AT. MEDICAS 2024'!$I$9:$I$874,B63)</f>
        <v>0</v>
      </c>
      <c r="I63" s="30">
        <f>COUNTIFS('AT. MEDICAS 2024'!$A$9:$A$874,"07/03/2025",'AT. MEDICAS 2024'!$I$9:$I$874,B63)</f>
        <v>0</v>
      </c>
      <c r="J63" s="30">
        <f>COUNTIFS('AT. MEDICAS 2024'!$A$9:$A$874,"08/03/2025",'AT. MEDICAS 2024'!$I$9:$I$874,B63)</f>
        <v>0</v>
      </c>
      <c r="K63" s="30">
        <f>COUNTIFS('AT. MEDICAS 2024'!$A$9:$A$874,"09/03/2025",'AT. MEDICAS 2024'!$I$9:$I$874,B63)</f>
        <v>0</v>
      </c>
      <c r="L63" s="30">
        <f>COUNTIFS('AT. MEDICAS 2024'!$A$9:$A$874,"10/03/2025",'AT. MEDICAS 2024'!$I$9:$I$874,B63)</f>
        <v>0</v>
      </c>
      <c r="M63" s="30">
        <f>COUNTIFS('AT. MEDICAS 2024'!$A$9:$A$874,"11/03/2025",'AT. MEDICAS 2024'!$I$9:$I$874,B63)</f>
        <v>0</v>
      </c>
      <c r="N63" s="30">
        <f>COUNTIFS('AT. MEDICAS 2024'!$A$9:$A$874,"12/03/2025",'AT. MEDICAS 2024'!$I$9:$I$874,B63)</f>
        <v>0</v>
      </c>
      <c r="O63" s="30">
        <f>COUNTIFS('AT. MEDICAS 2024'!$A$9:$A$874,"13/03/2025",'AT. MEDICAS 2024'!$I$9:$I$874,B63)</f>
        <v>0</v>
      </c>
      <c r="P63" s="30">
        <f>COUNTIFS('AT. MEDICAS 2024'!$A$9:$A$874,"14/03/2025",'AT. MEDICAS 2024'!$I$9:$I$874,B63)</f>
        <v>0</v>
      </c>
      <c r="Q63" s="30">
        <f>COUNTIFS('AT. MEDICAS 2024'!$A$9:$A$874,"15/03/2025",'AT. MEDICAS 2024'!$I$9:$I$874,B63)</f>
        <v>0</v>
      </c>
      <c r="R63" s="30">
        <f>COUNTIFS('AT. MEDICAS 2024'!$A$9:$A$874,"16/03/2025",'AT. MEDICAS 2024'!$I$9:$I$874,B63)</f>
        <v>0</v>
      </c>
      <c r="S63" s="30">
        <f>COUNTIFS('AT. MEDICAS 2024'!$A$9:$A$874,"17/03/2025",'AT. MEDICAS 2024'!$I$9:$I$874,B63)</f>
        <v>0</v>
      </c>
      <c r="T63" s="30">
        <f>COUNTIFS('AT. MEDICAS 2024'!$A$9:$A$874,"18/03/2025",'AT. MEDICAS 2024'!$I$9:$I$874,B63)</f>
        <v>0</v>
      </c>
      <c r="U63" s="30">
        <f>COUNTIFS('AT. MEDICAS 2024'!$A$9:$A$874,"19/03/2025",'AT. MEDICAS 2024'!$I$9:$I$874,B63)</f>
        <v>0</v>
      </c>
      <c r="V63" s="30">
        <f>COUNTIFS('AT. MEDICAS 2024'!$A$9:$A$874,"20/03/2025",'AT. MEDICAS 2024'!$I$9:$I$874,B63)</f>
        <v>0</v>
      </c>
      <c r="W63" s="30">
        <f>COUNTIFS('AT. MEDICAS 2024'!$A$9:$A$874,"21/03/2025",'AT. MEDICAS 2024'!$I$9:$I$874,B63)</f>
        <v>0</v>
      </c>
      <c r="X63" s="30">
        <f>COUNTIFS('AT. MEDICAS 2024'!$A$9:$A$874,"22/03/2025",'AT. MEDICAS 2024'!$I$9:$I$874,B63)</f>
        <v>0</v>
      </c>
      <c r="Y63" s="30">
        <f>COUNTIFS('AT. MEDICAS 2024'!$A$9:$A$874,"23/03/2025",'AT. MEDICAS 2024'!$I$9:$I$874,B63)</f>
        <v>0</v>
      </c>
      <c r="Z63" s="30">
        <f>COUNTIFS('AT. MEDICAS 2024'!$A$9:$A$874,"24/03/2025",'AT. MEDICAS 2024'!$I$9:$I$874,B63)</f>
        <v>0</v>
      </c>
      <c r="AA63" s="30">
        <f>COUNTIFS('AT. MEDICAS 2024'!$A$9:$A$874,"25/03/2025",'AT. MEDICAS 2024'!$I$9:$I$874,B63)</f>
        <v>0</v>
      </c>
      <c r="AB63" s="30">
        <f>COUNTIFS('AT. MEDICAS 2024'!$A$9:$A$874,"26/03/2025",'AT. MEDICAS 2024'!$I$9:$I$874,B63)</f>
        <v>0</v>
      </c>
      <c r="AC63" s="30">
        <f>COUNTIFS('AT. MEDICAS 2024'!$A$9:$A$874,"27/03/2025",'AT. MEDICAS 2024'!$I$9:$I$874,B63)</f>
        <v>0</v>
      </c>
      <c r="AD63" s="30">
        <f>COUNTIFS('AT. MEDICAS 2024'!$A$9:$A$874,"28/03/2025",'AT. MEDICAS 2024'!$I$9:$I$874,B63)</f>
        <v>0</v>
      </c>
      <c r="AE63" s="30">
        <f>COUNTIFS('AT. MEDICAS 2024'!$A$9:$A$874,"29/03/2025",'AT. MEDICAS 2024'!$I$9:$I$874,B63)</f>
        <v>0</v>
      </c>
      <c r="AF63" s="30">
        <f>COUNTIFS('AT. MEDICAS 2024'!$A$9:$A$874,"30/03/2025",'AT. MEDICAS 2024'!$I$9:$I$874,B63)</f>
        <v>0</v>
      </c>
      <c r="AG63" s="30">
        <f>COUNTIFS('AT. MEDICAS 2024'!$A$9:$A$874,"31/03/2025",'AT. MEDICAS 2024'!$I$9:$I$874,B63)</f>
        <v>0</v>
      </c>
      <c r="AH63" s="55">
        <f t="shared" si="15"/>
        <v>0</v>
      </c>
    </row>
    <row r="64" spans="1:34" ht="13.8" thickBot="1" x14ac:dyDescent="0.3">
      <c r="A64" s="41">
        <v>4</v>
      </c>
      <c r="B64" s="54" t="s">
        <v>50</v>
      </c>
      <c r="C64" s="30">
        <f>COUNTIFS('AT. MEDICAS 2024'!$A$9:$A$874,"01/03/2025",'AT. MEDICAS 2024'!$I$9:$I$874,B64)</f>
        <v>0</v>
      </c>
      <c r="D64" s="30">
        <f>COUNTIFS('AT. MEDICAS 2024'!$A$9:$A$874,"02/03/2025",'AT. MEDICAS 2024'!$I$9:$I$874,B64)</f>
        <v>0</v>
      </c>
      <c r="E64" s="30">
        <f>COUNTIFS('AT. MEDICAS 2024'!$A$9:$A$874,"03/03/2025",'AT. MEDICAS 2024'!$I$9:$I$874,B64)</f>
        <v>0</v>
      </c>
      <c r="F64" s="30">
        <f>COUNTIFS('AT. MEDICAS 2024'!$A$9:$A$874,"04/03/2025",'AT. MEDICAS 2024'!$I$9:$I$874,B64)</f>
        <v>0</v>
      </c>
      <c r="G64" s="30">
        <f>COUNTIFS('AT. MEDICAS 2024'!$A$9:$A$874,"05/03/2025",'AT. MEDICAS 2024'!$I$9:$I$874,B64)</f>
        <v>0</v>
      </c>
      <c r="H64" s="30">
        <f>COUNTIFS('AT. MEDICAS 2024'!$A$9:$A$874,"06/03/2025",'AT. MEDICAS 2024'!$I$9:$I$874,B64)</f>
        <v>0</v>
      </c>
      <c r="I64" s="30">
        <f>COUNTIFS('AT. MEDICAS 2024'!$A$9:$A$874,"07/03/2025",'AT. MEDICAS 2024'!$I$9:$I$874,B64)</f>
        <v>0</v>
      </c>
      <c r="J64" s="30">
        <f>COUNTIFS('AT. MEDICAS 2024'!$A$9:$A$874,"08/03/2025",'AT. MEDICAS 2024'!$I$9:$I$874,B64)</f>
        <v>0</v>
      </c>
      <c r="K64" s="30">
        <f>COUNTIFS('AT. MEDICAS 2024'!$A$9:$A$874,"09/03/2025",'AT. MEDICAS 2024'!$I$9:$I$874,B64)</f>
        <v>0</v>
      </c>
      <c r="L64" s="30">
        <f>COUNTIFS('AT. MEDICAS 2024'!$A$9:$A$874,"10/03/2025",'AT. MEDICAS 2024'!$I$9:$I$874,B64)</f>
        <v>0</v>
      </c>
      <c r="M64" s="30">
        <f>COUNTIFS('AT. MEDICAS 2024'!$A$9:$A$874,"11/03/2025",'AT. MEDICAS 2024'!$I$9:$I$874,B64)</f>
        <v>0</v>
      </c>
      <c r="N64" s="30">
        <f>COUNTIFS('AT. MEDICAS 2024'!$A$9:$A$874,"12/03/2025",'AT. MEDICAS 2024'!$I$9:$I$874,B64)</f>
        <v>0</v>
      </c>
      <c r="O64" s="30">
        <f>COUNTIFS('AT. MEDICAS 2024'!$A$9:$A$874,"13/03/2025",'AT. MEDICAS 2024'!$I$9:$I$874,B64)</f>
        <v>0</v>
      </c>
      <c r="P64" s="30">
        <f>COUNTIFS('AT. MEDICAS 2024'!$A$9:$A$874,"14/03/2025",'AT. MEDICAS 2024'!$I$9:$I$874,B64)</f>
        <v>0</v>
      </c>
      <c r="Q64" s="30">
        <f>COUNTIFS('AT. MEDICAS 2024'!$A$9:$A$874,"15/03/2025",'AT. MEDICAS 2024'!$I$9:$I$874,B64)</f>
        <v>0</v>
      </c>
      <c r="R64" s="30">
        <f>COUNTIFS('AT. MEDICAS 2024'!$A$9:$A$874,"16/03/2025",'AT. MEDICAS 2024'!$I$9:$I$874,B64)</f>
        <v>0</v>
      </c>
      <c r="S64" s="30">
        <f>COUNTIFS('AT. MEDICAS 2024'!$A$9:$A$874,"17/03/2025",'AT. MEDICAS 2024'!$I$9:$I$874,B64)</f>
        <v>0</v>
      </c>
      <c r="T64" s="30">
        <f>COUNTIFS('AT. MEDICAS 2024'!$A$9:$A$874,"18/03/2025",'AT. MEDICAS 2024'!$I$9:$I$874,B64)</f>
        <v>0</v>
      </c>
      <c r="U64" s="30">
        <f>COUNTIFS('AT. MEDICAS 2024'!$A$9:$A$874,"19/03/2025",'AT. MEDICAS 2024'!$I$9:$I$874,B64)</f>
        <v>0</v>
      </c>
      <c r="V64" s="30">
        <f>COUNTIFS('AT. MEDICAS 2024'!$A$9:$A$874,"20/03/2025",'AT. MEDICAS 2024'!$I$9:$I$874,B64)</f>
        <v>0</v>
      </c>
      <c r="W64" s="30">
        <f>COUNTIFS('AT. MEDICAS 2024'!$A$9:$A$874,"21/03/2025",'AT. MEDICAS 2024'!$I$9:$I$874,B64)</f>
        <v>0</v>
      </c>
      <c r="X64" s="30">
        <f>COUNTIFS('AT. MEDICAS 2024'!$A$9:$A$874,"22/03/2025",'AT. MEDICAS 2024'!$I$9:$I$874,B64)</f>
        <v>0</v>
      </c>
      <c r="Y64" s="30">
        <f>COUNTIFS('AT. MEDICAS 2024'!$A$9:$A$874,"23/03/2025",'AT. MEDICAS 2024'!$I$9:$I$874,B64)</f>
        <v>0</v>
      </c>
      <c r="Z64" s="30">
        <f>COUNTIFS('AT. MEDICAS 2024'!$A$9:$A$874,"24/03/2025",'AT. MEDICAS 2024'!$I$9:$I$874,B64)</f>
        <v>0</v>
      </c>
      <c r="AA64" s="30">
        <f>COUNTIFS('AT. MEDICAS 2024'!$A$9:$A$874,"25/03/2025",'AT. MEDICAS 2024'!$I$9:$I$874,B64)</f>
        <v>0</v>
      </c>
      <c r="AB64" s="30">
        <f>COUNTIFS('AT. MEDICAS 2024'!$A$9:$A$874,"26/03/2025",'AT. MEDICAS 2024'!$I$9:$I$874,B64)</f>
        <v>0</v>
      </c>
      <c r="AC64" s="30">
        <f>COUNTIFS('AT. MEDICAS 2024'!$A$9:$A$874,"27/03/2025",'AT. MEDICAS 2024'!$I$9:$I$874,B64)</f>
        <v>0</v>
      </c>
      <c r="AD64" s="30">
        <f>COUNTIFS('AT. MEDICAS 2024'!$A$9:$A$874,"28/03/2025",'AT. MEDICAS 2024'!$I$9:$I$874,B64)</f>
        <v>0</v>
      </c>
      <c r="AE64" s="30">
        <f>COUNTIFS('AT. MEDICAS 2024'!$A$9:$A$874,"29/03/2025",'AT. MEDICAS 2024'!$I$9:$I$874,B64)</f>
        <v>0</v>
      </c>
      <c r="AF64" s="30">
        <f>COUNTIFS('AT. MEDICAS 2024'!$A$9:$A$874,"30/03/2025",'AT. MEDICAS 2024'!$I$9:$I$874,B64)</f>
        <v>0</v>
      </c>
      <c r="AG64" s="30">
        <f>COUNTIFS('AT. MEDICAS 2024'!$A$9:$A$874,"31/03/2025",'AT. MEDICAS 2024'!$I$9:$I$874,B64)</f>
        <v>0</v>
      </c>
      <c r="AH64" s="55">
        <f t="shared" si="15"/>
        <v>0</v>
      </c>
    </row>
    <row r="65" spans="1:34" ht="13.8" thickBot="1" x14ac:dyDescent="0.3">
      <c r="A65" s="41">
        <v>5</v>
      </c>
      <c r="B65" s="54" t="s">
        <v>187</v>
      </c>
      <c r="C65" s="30">
        <f>COUNTIFS('AT. MEDICAS 2024'!$A$9:$A$874,"01/03/2025",'AT. MEDICAS 2024'!$I$9:$I$874,B65)</f>
        <v>0</v>
      </c>
      <c r="D65" s="30">
        <f>COUNTIFS('AT. MEDICAS 2024'!$A$9:$A$874,"02/03/2025",'AT. MEDICAS 2024'!$I$9:$I$874,B65)</f>
        <v>0</v>
      </c>
      <c r="E65" s="30">
        <f>COUNTIFS('AT. MEDICAS 2024'!$A$9:$A$874,"03/03/2025",'AT. MEDICAS 2024'!$I$9:$I$874,B65)</f>
        <v>0</v>
      </c>
      <c r="F65" s="30">
        <f>COUNTIFS('AT. MEDICAS 2024'!$A$9:$A$874,"04/03/2025",'AT. MEDICAS 2024'!$I$9:$I$874,B65)</f>
        <v>0</v>
      </c>
      <c r="G65" s="30">
        <f>COUNTIFS('AT. MEDICAS 2024'!$A$9:$A$874,"05/03/2025",'AT. MEDICAS 2024'!$I$9:$I$874,B65)</f>
        <v>0</v>
      </c>
      <c r="H65" s="30">
        <f>COUNTIFS('AT. MEDICAS 2024'!$A$9:$A$874,"06/03/2025",'AT. MEDICAS 2024'!$I$9:$I$874,B65)</f>
        <v>0</v>
      </c>
      <c r="I65" s="30">
        <f>COUNTIFS('AT. MEDICAS 2024'!$A$9:$A$874,"07/03/2025",'AT. MEDICAS 2024'!$I$9:$I$874,B65)</f>
        <v>0</v>
      </c>
      <c r="J65" s="30">
        <f>COUNTIFS('AT. MEDICAS 2024'!$A$9:$A$874,"08/03/2025",'AT. MEDICAS 2024'!$I$9:$I$874,B65)</f>
        <v>0</v>
      </c>
      <c r="K65" s="30">
        <f>COUNTIFS('AT. MEDICAS 2024'!$A$9:$A$874,"09/03/2025",'AT. MEDICAS 2024'!$I$9:$I$874,B65)</f>
        <v>0</v>
      </c>
      <c r="L65" s="30">
        <f>COUNTIFS('AT. MEDICAS 2024'!$A$9:$A$874,"10/03/2025",'AT. MEDICAS 2024'!$I$9:$I$874,B65)</f>
        <v>0</v>
      </c>
      <c r="M65" s="30">
        <f>COUNTIFS('AT. MEDICAS 2024'!$A$9:$A$874,"11/03/2025",'AT. MEDICAS 2024'!$I$9:$I$874,B65)</f>
        <v>0</v>
      </c>
      <c r="N65" s="30">
        <f>COUNTIFS('AT. MEDICAS 2024'!$A$9:$A$874,"12/03/2025",'AT. MEDICAS 2024'!$I$9:$I$874,B65)</f>
        <v>0</v>
      </c>
      <c r="O65" s="30">
        <f>COUNTIFS('AT. MEDICAS 2024'!$A$9:$A$874,"13/03/2025",'AT. MEDICAS 2024'!$I$9:$I$874,B65)</f>
        <v>0</v>
      </c>
      <c r="P65" s="30">
        <f>COUNTIFS('AT. MEDICAS 2024'!$A$9:$A$874,"14/03/2025",'AT. MEDICAS 2024'!$I$9:$I$874,B65)</f>
        <v>0</v>
      </c>
      <c r="Q65" s="30">
        <f>COUNTIFS('AT. MEDICAS 2024'!$A$9:$A$874,"15/03/2025",'AT. MEDICAS 2024'!$I$9:$I$874,B65)</f>
        <v>0</v>
      </c>
      <c r="R65" s="30">
        <f>COUNTIFS('AT. MEDICAS 2024'!$A$9:$A$874,"16/03/2025",'AT. MEDICAS 2024'!$I$9:$I$874,B65)</f>
        <v>0</v>
      </c>
      <c r="S65" s="30">
        <f>COUNTIFS('AT. MEDICAS 2024'!$A$9:$A$874,"17/03/2025",'AT. MEDICAS 2024'!$I$9:$I$874,B65)</f>
        <v>0</v>
      </c>
      <c r="T65" s="30">
        <f>COUNTIFS('AT. MEDICAS 2024'!$A$9:$A$874,"18/03/2025",'AT. MEDICAS 2024'!$I$9:$I$874,B65)</f>
        <v>0</v>
      </c>
      <c r="U65" s="30">
        <f>COUNTIFS('AT. MEDICAS 2024'!$A$9:$A$874,"19/03/2025",'AT. MEDICAS 2024'!$I$9:$I$874,B65)</f>
        <v>0</v>
      </c>
      <c r="V65" s="30">
        <f>COUNTIFS('AT. MEDICAS 2024'!$A$9:$A$874,"20/03/2025",'AT. MEDICAS 2024'!$I$9:$I$874,B65)</f>
        <v>0</v>
      </c>
      <c r="W65" s="30">
        <f>COUNTIFS('AT. MEDICAS 2024'!$A$9:$A$874,"21/03/2025",'AT. MEDICAS 2024'!$I$9:$I$874,B65)</f>
        <v>0</v>
      </c>
      <c r="X65" s="30">
        <f>COUNTIFS('AT. MEDICAS 2024'!$A$9:$A$874,"22/03/2025",'AT. MEDICAS 2024'!$I$9:$I$874,B65)</f>
        <v>0</v>
      </c>
      <c r="Y65" s="30">
        <f>COUNTIFS('AT. MEDICAS 2024'!$A$9:$A$874,"23/03/2025",'AT. MEDICAS 2024'!$I$9:$I$874,B65)</f>
        <v>0</v>
      </c>
      <c r="Z65" s="30">
        <f>COUNTIFS('AT. MEDICAS 2024'!$A$9:$A$874,"24/03/2025",'AT. MEDICAS 2024'!$I$9:$I$874,B65)</f>
        <v>0</v>
      </c>
      <c r="AA65" s="30">
        <f>COUNTIFS('AT. MEDICAS 2024'!$A$9:$A$874,"25/03/2025",'AT. MEDICAS 2024'!$I$9:$I$874,B65)</f>
        <v>0</v>
      </c>
      <c r="AB65" s="30">
        <f>COUNTIFS('AT. MEDICAS 2024'!$A$9:$A$874,"26/03/2025",'AT. MEDICAS 2024'!$I$9:$I$874,B65)</f>
        <v>0</v>
      </c>
      <c r="AC65" s="30">
        <f>COUNTIFS('AT. MEDICAS 2024'!$A$9:$A$874,"27/03/2025",'AT. MEDICAS 2024'!$I$9:$I$874,B65)</f>
        <v>0</v>
      </c>
      <c r="AD65" s="30">
        <f>COUNTIFS('AT. MEDICAS 2024'!$A$9:$A$874,"28/03/2025",'AT. MEDICAS 2024'!$I$9:$I$874,B65)</f>
        <v>0</v>
      </c>
      <c r="AE65" s="30">
        <f>COUNTIFS('AT. MEDICAS 2024'!$A$9:$A$874,"29/03/2025",'AT. MEDICAS 2024'!$I$9:$I$874,B65)</f>
        <v>0</v>
      </c>
      <c r="AF65" s="30">
        <f>COUNTIFS('AT. MEDICAS 2024'!$A$9:$A$874,"30/03/2025",'AT. MEDICAS 2024'!$I$9:$I$874,B65)</f>
        <v>0</v>
      </c>
      <c r="AG65" s="30">
        <f>COUNTIFS('AT. MEDICAS 2024'!$A$9:$A$874,"31/03/2025",'AT. MEDICAS 2024'!$I$9:$I$874,B65)</f>
        <v>0</v>
      </c>
      <c r="AH65" s="55">
        <f t="shared" si="15"/>
        <v>0</v>
      </c>
    </row>
    <row r="66" spans="1:34" ht="13.8" thickBot="1" x14ac:dyDescent="0.3">
      <c r="A66" s="41">
        <v>6</v>
      </c>
      <c r="B66" s="54" t="s">
        <v>46</v>
      </c>
      <c r="C66" s="30">
        <f>COUNTIFS('AT. MEDICAS 2024'!$A$9:$A$874,"01/03/2025",'AT. MEDICAS 2024'!$I$9:$I$874,B66)</f>
        <v>0</v>
      </c>
      <c r="D66" s="30">
        <f>COUNTIFS('AT. MEDICAS 2024'!$A$9:$A$874,"02/03/2025",'AT. MEDICAS 2024'!$I$9:$I$874,B66)</f>
        <v>0</v>
      </c>
      <c r="E66" s="30">
        <f>COUNTIFS('AT. MEDICAS 2024'!$A$9:$A$874,"03/03/2025",'AT. MEDICAS 2024'!$I$9:$I$874,B66)</f>
        <v>0</v>
      </c>
      <c r="F66" s="30">
        <f>COUNTIFS('AT. MEDICAS 2024'!$A$9:$A$874,"04/03/2025",'AT. MEDICAS 2024'!$I$9:$I$874,B66)</f>
        <v>0</v>
      </c>
      <c r="G66" s="30">
        <f>COUNTIFS('AT. MEDICAS 2024'!$A$9:$A$874,"05/03/2025",'AT. MEDICAS 2024'!$I$9:$I$874,B66)</f>
        <v>0</v>
      </c>
      <c r="H66" s="30">
        <f>COUNTIFS('AT. MEDICAS 2024'!$A$9:$A$874,"06/03/2025",'AT. MEDICAS 2024'!$I$9:$I$874,B66)</f>
        <v>0</v>
      </c>
      <c r="I66" s="30">
        <f>COUNTIFS('AT. MEDICAS 2024'!$A$9:$A$874,"07/03/2025",'AT. MEDICAS 2024'!$I$9:$I$874,B66)</f>
        <v>0</v>
      </c>
      <c r="J66" s="30">
        <f>COUNTIFS('AT. MEDICAS 2024'!$A$9:$A$874,"08/03/2025",'AT. MEDICAS 2024'!$I$9:$I$874,B66)</f>
        <v>0</v>
      </c>
      <c r="K66" s="30">
        <f>COUNTIFS('AT. MEDICAS 2024'!$A$9:$A$874,"09/03/2025",'AT. MEDICAS 2024'!$I$9:$I$874,B66)</f>
        <v>0</v>
      </c>
      <c r="L66" s="30">
        <f>COUNTIFS('AT. MEDICAS 2024'!$A$9:$A$874,"10/03/2025",'AT. MEDICAS 2024'!$I$9:$I$874,B66)</f>
        <v>0</v>
      </c>
      <c r="M66" s="30">
        <f>COUNTIFS('AT. MEDICAS 2024'!$A$9:$A$874,"11/03/2025",'AT. MEDICAS 2024'!$I$9:$I$874,B66)</f>
        <v>0</v>
      </c>
      <c r="N66" s="30">
        <f>COUNTIFS('AT. MEDICAS 2024'!$A$9:$A$874,"12/03/2025",'AT. MEDICAS 2024'!$I$9:$I$874,B66)</f>
        <v>0</v>
      </c>
      <c r="O66" s="30">
        <f>COUNTIFS('AT. MEDICAS 2024'!$A$9:$A$874,"13/03/2025",'AT. MEDICAS 2024'!$I$9:$I$874,B66)</f>
        <v>0</v>
      </c>
      <c r="P66" s="30">
        <f>COUNTIFS('AT. MEDICAS 2024'!$A$9:$A$874,"14/03/2025",'AT. MEDICAS 2024'!$I$9:$I$874,B66)</f>
        <v>0</v>
      </c>
      <c r="Q66" s="30">
        <f>COUNTIFS('AT. MEDICAS 2024'!$A$9:$A$874,"15/03/2025",'AT. MEDICAS 2024'!$I$9:$I$874,B66)</f>
        <v>0</v>
      </c>
      <c r="R66" s="30">
        <f>COUNTIFS('AT. MEDICAS 2024'!$A$9:$A$874,"16/03/2025",'AT. MEDICAS 2024'!$I$9:$I$874,B66)</f>
        <v>0</v>
      </c>
      <c r="S66" s="30">
        <f>COUNTIFS('AT. MEDICAS 2024'!$A$9:$A$874,"17/03/2025",'AT. MEDICAS 2024'!$I$9:$I$874,B66)</f>
        <v>0</v>
      </c>
      <c r="T66" s="30">
        <f>COUNTIFS('AT. MEDICAS 2024'!$A$9:$A$874,"18/03/2025",'AT. MEDICAS 2024'!$I$9:$I$874,B66)</f>
        <v>0</v>
      </c>
      <c r="U66" s="30">
        <f>COUNTIFS('AT. MEDICAS 2024'!$A$9:$A$874,"19/03/2025",'AT. MEDICAS 2024'!$I$9:$I$874,B66)</f>
        <v>0</v>
      </c>
      <c r="V66" s="30">
        <f>COUNTIFS('AT. MEDICAS 2024'!$A$9:$A$874,"20/03/2025",'AT. MEDICAS 2024'!$I$9:$I$874,B66)</f>
        <v>0</v>
      </c>
      <c r="W66" s="30">
        <f>COUNTIFS('AT. MEDICAS 2024'!$A$9:$A$874,"21/03/2025",'AT. MEDICAS 2024'!$I$9:$I$874,B66)</f>
        <v>0</v>
      </c>
      <c r="X66" s="30">
        <f>COUNTIFS('AT. MEDICAS 2024'!$A$9:$A$874,"22/03/2025",'AT. MEDICAS 2024'!$I$9:$I$874,B66)</f>
        <v>0</v>
      </c>
      <c r="Y66" s="30">
        <f>COUNTIFS('AT. MEDICAS 2024'!$A$9:$A$874,"23/03/2025",'AT. MEDICAS 2024'!$I$9:$I$874,B66)</f>
        <v>0</v>
      </c>
      <c r="Z66" s="30">
        <f>COUNTIFS('AT. MEDICAS 2024'!$A$9:$A$874,"24/03/2025",'AT. MEDICAS 2024'!$I$9:$I$874,B66)</f>
        <v>0</v>
      </c>
      <c r="AA66" s="30">
        <f>COUNTIFS('AT. MEDICAS 2024'!$A$9:$A$874,"25/03/2025",'AT. MEDICAS 2024'!$I$9:$I$874,B66)</f>
        <v>0</v>
      </c>
      <c r="AB66" s="30">
        <f>COUNTIFS('AT. MEDICAS 2024'!$A$9:$A$874,"26/03/2025",'AT. MEDICAS 2024'!$I$9:$I$874,B66)</f>
        <v>0</v>
      </c>
      <c r="AC66" s="30">
        <f>COUNTIFS('AT. MEDICAS 2024'!$A$9:$A$874,"27/03/2025",'AT. MEDICAS 2024'!$I$9:$I$874,B66)</f>
        <v>0</v>
      </c>
      <c r="AD66" s="30">
        <f>COUNTIFS('AT. MEDICAS 2024'!$A$9:$A$874,"28/03/2025",'AT. MEDICAS 2024'!$I$9:$I$874,B66)</f>
        <v>0</v>
      </c>
      <c r="AE66" s="30">
        <f>COUNTIFS('AT. MEDICAS 2024'!$A$9:$A$874,"29/03/2025",'AT. MEDICAS 2024'!$I$9:$I$874,B66)</f>
        <v>0</v>
      </c>
      <c r="AF66" s="30">
        <f>COUNTIFS('AT. MEDICAS 2024'!$A$9:$A$874,"30/03/2025",'AT. MEDICAS 2024'!$I$9:$I$874,B66)</f>
        <v>0</v>
      </c>
      <c r="AG66" s="30">
        <f>COUNTIFS('AT. MEDICAS 2024'!$A$9:$A$874,"31/03/2025",'AT. MEDICAS 2024'!$I$9:$I$874,B66)</f>
        <v>0</v>
      </c>
      <c r="AH66" s="55">
        <f t="shared" si="15"/>
        <v>0</v>
      </c>
    </row>
    <row r="67" spans="1:34" ht="13.8" thickBot="1" x14ac:dyDescent="0.3">
      <c r="A67" s="41">
        <v>7</v>
      </c>
      <c r="B67" s="54" t="s">
        <v>36</v>
      </c>
      <c r="C67" s="30">
        <f>COUNTIFS('AT. MEDICAS 2024'!$A$9:$A$874,"01/03/2025",'AT. MEDICAS 2024'!$I$9:$I$874,B67)</f>
        <v>0</v>
      </c>
      <c r="D67" s="30">
        <f>COUNTIFS('AT. MEDICAS 2024'!$A$9:$A$874,"02/03/2025",'AT. MEDICAS 2024'!$I$9:$I$874,B67)</f>
        <v>0</v>
      </c>
      <c r="E67" s="30">
        <f>COUNTIFS('AT. MEDICAS 2024'!$A$9:$A$874,"03/03/2025",'AT. MEDICAS 2024'!$I$9:$I$874,B67)</f>
        <v>0</v>
      </c>
      <c r="F67" s="30">
        <f>COUNTIFS('AT. MEDICAS 2024'!$A$9:$A$874,"04/03/2025",'AT. MEDICAS 2024'!$I$9:$I$874,B67)</f>
        <v>0</v>
      </c>
      <c r="G67" s="30">
        <f>COUNTIFS('AT. MEDICAS 2024'!$A$9:$A$874,"05/03/2025",'AT. MEDICAS 2024'!$I$9:$I$874,B67)</f>
        <v>0</v>
      </c>
      <c r="H67" s="30">
        <f>COUNTIFS('AT. MEDICAS 2024'!$A$9:$A$874,"06/03/2025",'AT. MEDICAS 2024'!$I$9:$I$874,B67)</f>
        <v>0</v>
      </c>
      <c r="I67" s="30">
        <f>COUNTIFS('AT. MEDICAS 2024'!$A$9:$A$874,"07/03/2025",'AT. MEDICAS 2024'!$I$9:$I$874,B67)</f>
        <v>0</v>
      </c>
      <c r="J67" s="30">
        <f>COUNTIFS('AT. MEDICAS 2024'!$A$9:$A$874,"08/03/2025",'AT. MEDICAS 2024'!$I$9:$I$874,B67)</f>
        <v>0</v>
      </c>
      <c r="K67" s="30">
        <f>COUNTIFS('AT. MEDICAS 2024'!$A$9:$A$874,"09/03/2025",'AT. MEDICAS 2024'!$I$9:$I$874,B67)</f>
        <v>0</v>
      </c>
      <c r="L67" s="30">
        <f>COUNTIFS('AT. MEDICAS 2024'!$A$9:$A$874,"10/03/2025",'AT. MEDICAS 2024'!$I$9:$I$874,B67)</f>
        <v>0</v>
      </c>
      <c r="M67" s="30">
        <f>COUNTIFS('AT. MEDICAS 2024'!$A$9:$A$874,"11/03/2025",'AT. MEDICAS 2024'!$I$9:$I$874,B67)</f>
        <v>0</v>
      </c>
      <c r="N67" s="30">
        <f>COUNTIFS('AT. MEDICAS 2024'!$A$9:$A$874,"12/03/2025",'AT. MEDICAS 2024'!$I$9:$I$874,B67)</f>
        <v>0</v>
      </c>
      <c r="O67" s="30">
        <f>COUNTIFS('AT. MEDICAS 2024'!$A$9:$A$874,"13/03/2025",'AT. MEDICAS 2024'!$I$9:$I$874,B67)</f>
        <v>0</v>
      </c>
      <c r="P67" s="30">
        <f>COUNTIFS('AT. MEDICAS 2024'!$A$9:$A$874,"14/03/2025",'AT. MEDICAS 2024'!$I$9:$I$874,B67)</f>
        <v>0</v>
      </c>
      <c r="Q67" s="30">
        <f>COUNTIFS('AT. MEDICAS 2024'!$A$9:$A$874,"15/03/2025",'AT. MEDICAS 2024'!$I$9:$I$874,B67)</f>
        <v>0</v>
      </c>
      <c r="R67" s="30">
        <f>COUNTIFS('AT. MEDICAS 2024'!$A$9:$A$874,"16/03/2025",'AT. MEDICAS 2024'!$I$9:$I$874,B67)</f>
        <v>0</v>
      </c>
      <c r="S67" s="30">
        <f>COUNTIFS('AT. MEDICAS 2024'!$A$9:$A$874,"17/03/2025",'AT. MEDICAS 2024'!$I$9:$I$874,B67)</f>
        <v>0</v>
      </c>
      <c r="T67" s="30">
        <f>COUNTIFS('AT. MEDICAS 2024'!$A$9:$A$874,"18/03/2025",'AT. MEDICAS 2024'!$I$9:$I$874,B67)</f>
        <v>0</v>
      </c>
      <c r="U67" s="30">
        <f>COUNTIFS('AT. MEDICAS 2024'!$A$9:$A$874,"19/03/2025",'AT. MEDICAS 2024'!$I$9:$I$874,B67)</f>
        <v>0</v>
      </c>
      <c r="V67" s="30">
        <f>COUNTIFS('AT. MEDICAS 2024'!$A$9:$A$874,"20/03/2025",'AT. MEDICAS 2024'!$I$9:$I$874,B67)</f>
        <v>0</v>
      </c>
      <c r="W67" s="30">
        <f>COUNTIFS('AT. MEDICAS 2024'!$A$9:$A$874,"21/03/2025",'AT. MEDICAS 2024'!$I$9:$I$874,B67)</f>
        <v>0</v>
      </c>
      <c r="X67" s="30">
        <f>COUNTIFS('AT. MEDICAS 2024'!$A$9:$A$874,"22/03/2025",'AT. MEDICAS 2024'!$I$9:$I$874,B67)</f>
        <v>0</v>
      </c>
      <c r="Y67" s="30">
        <f>COUNTIFS('AT. MEDICAS 2024'!$A$9:$A$874,"23/03/2025",'AT. MEDICAS 2024'!$I$9:$I$874,B67)</f>
        <v>0</v>
      </c>
      <c r="Z67" s="30">
        <f>COUNTIFS('AT. MEDICAS 2024'!$A$9:$A$874,"24/03/2025",'AT. MEDICAS 2024'!$I$9:$I$874,B67)</f>
        <v>0</v>
      </c>
      <c r="AA67" s="30">
        <f>COUNTIFS('AT. MEDICAS 2024'!$A$9:$A$874,"25/03/2025",'AT. MEDICAS 2024'!$I$9:$I$874,B67)</f>
        <v>0</v>
      </c>
      <c r="AB67" s="30">
        <f>COUNTIFS('AT. MEDICAS 2024'!$A$9:$A$874,"26/03/2025",'AT. MEDICAS 2024'!$I$9:$I$874,B67)</f>
        <v>0</v>
      </c>
      <c r="AC67" s="30">
        <f>COUNTIFS('AT. MEDICAS 2024'!$A$9:$A$874,"27/03/2025",'AT. MEDICAS 2024'!$I$9:$I$874,B67)</f>
        <v>0</v>
      </c>
      <c r="AD67" s="30">
        <f>COUNTIFS('AT. MEDICAS 2024'!$A$9:$A$874,"28/03/2025",'AT. MEDICAS 2024'!$I$9:$I$874,B67)</f>
        <v>0</v>
      </c>
      <c r="AE67" s="30">
        <f>COUNTIFS('AT. MEDICAS 2024'!$A$9:$A$874,"29/03/2025",'AT. MEDICAS 2024'!$I$9:$I$874,B67)</f>
        <v>0</v>
      </c>
      <c r="AF67" s="30">
        <f>COUNTIFS('AT. MEDICAS 2024'!$A$9:$A$874,"30/03/2025",'AT. MEDICAS 2024'!$I$9:$I$874,B67)</f>
        <v>0</v>
      </c>
      <c r="AG67" s="30">
        <f>COUNTIFS('AT. MEDICAS 2024'!$A$9:$A$874,"31/03/2025",'AT. MEDICAS 2024'!$I$9:$I$874,B67)</f>
        <v>0</v>
      </c>
      <c r="AH67" s="55">
        <f t="shared" si="15"/>
        <v>0</v>
      </c>
    </row>
    <row r="68" spans="1:34" ht="13.8" thickBot="1" x14ac:dyDescent="0.3">
      <c r="A68" s="41">
        <v>8</v>
      </c>
      <c r="B68" s="54" t="s">
        <v>92</v>
      </c>
      <c r="C68" s="30">
        <f>COUNTIFS('AT. MEDICAS 2024'!$A$9:$A$874,"01/03/2025",'AT. MEDICAS 2024'!$I$9:$I$874,B68)</f>
        <v>0</v>
      </c>
      <c r="D68" s="30">
        <f>COUNTIFS('AT. MEDICAS 2024'!$A$9:$A$874,"02/03/2025",'AT. MEDICAS 2024'!$I$9:$I$874,B68)</f>
        <v>0</v>
      </c>
      <c r="E68" s="30">
        <f>COUNTIFS('AT. MEDICAS 2024'!$A$9:$A$874,"03/03/2025",'AT. MEDICAS 2024'!$I$9:$I$874,B68)</f>
        <v>0</v>
      </c>
      <c r="F68" s="30">
        <f>COUNTIFS('AT. MEDICAS 2024'!$A$9:$A$874,"04/03/2025",'AT. MEDICAS 2024'!$I$9:$I$874,B68)</f>
        <v>0</v>
      </c>
      <c r="G68" s="30">
        <f>COUNTIFS('AT. MEDICAS 2024'!$A$9:$A$874,"05/03/2025",'AT. MEDICAS 2024'!$I$9:$I$874,B68)</f>
        <v>0</v>
      </c>
      <c r="H68" s="30">
        <f>COUNTIFS('AT. MEDICAS 2024'!$A$9:$A$874,"06/03/2025",'AT. MEDICAS 2024'!$I$9:$I$874,B68)</f>
        <v>0</v>
      </c>
      <c r="I68" s="30">
        <f>COUNTIFS('AT. MEDICAS 2024'!$A$9:$A$874,"07/03/2025",'AT. MEDICAS 2024'!$I$9:$I$874,B68)</f>
        <v>0</v>
      </c>
      <c r="J68" s="30">
        <f>COUNTIFS('AT. MEDICAS 2024'!$A$9:$A$874,"08/03/2025",'AT. MEDICAS 2024'!$I$9:$I$874,B68)</f>
        <v>0</v>
      </c>
      <c r="K68" s="30">
        <f>COUNTIFS('AT. MEDICAS 2024'!$A$9:$A$874,"09/03/2025",'AT. MEDICAS 2024'!$I$9:$I$874,B68)</f>
        <v>0</v>
      </c>
      <c r="L68" s="30">
        <f>COUNTIFS('AT. MEDICAS 2024'!$A$9:$A$874,"10/03/2025",'AT. MEDICAS 2024'!$I$9:$I$874,B68)</f>
        <v>0</v>
      </c>
      <c r="M68" s="30">
        <f>COUNTIFS('AT. MEDICAS 2024'!$A$9:$A$874,"11/03/2025",'AT. MEDICAS 2024'!$I$9:$I$874,B68)</f>
        <v>0</v>
      </c>
      <c r="N68" s="30">
        <f>COUNTIFS('AT. MEDICAS 2024'!$A$9:$A$874,"12/03/2025",'AT. MEDICAS 2024'!$I$9:$I$874,B68)</f>
        <v>0</v>
      </c>
      <c r="O68" s="30">
        <f>COUNTIFS('AT. MEDICAS 2024'!$A$9:$A$874,"13/03/2025",'AT. MEDICAS 2024'!$I$9:$I$874,B68)</f>
        <v>0</v>
      </c>
      <c r="P68" s="30">
        <f>COUNTIFS('AT. MEDICAS 2024'!$A$9:$A$874,"14/03/2025",'AT. MEDICAS 2024'!$I$9:$I$874,B68)</f>
        <v>0</v>
      </c>
      <c r="Q68" s="30">
        <f>COUNTIFS('AT. MEDICAS 2024'!$A$9:$A$874,"15/03/2025",'AT. MEDICAS 2024'!$I$9:$I$874,B68)</f>
        <v>0</v>
      </c>
      <c r="R68" s="30">
        <f>COUNTIFS('AT. MEDICAS 2024'!$A$9:$A$874,"16/03/2025",'AT. MEDICAS 2024'!$I$9:$I$874,B68)</f>
        <v>0</v>
      </c>
      <c r="S68" s="30">
        <f>COUNTIFS('AT. MEDICAS 2024'!$A$9:$A$874,"17/03/2025",'AT. MEDICAS 2024'!$I$9:$I$874,B68)</f>
        <v>0</v>
      </c>
      <c r="T68" s="30">
        <f>COUNTIFS('AT. MEDICAS 2024'!$A$9:$A$874,"18/03/2025",'AT. MEDICAS 2024'!$I$9:$I$874,B68)</f>
        <v>0</v>
      </c>
      <c r="U68" s="30">
        <f>COUNTIFS('AT. MEDICAS 2024'!$A$9:$A$874,"19/03/2025",'AT. MEDICAS 2024'!$I$9:$I$874,B68)</f>
        <v>0</v>
      </c>
      <c r="V68" s="30">
        <f>COUNTIFS('AT. MEDICAS 2024'!$A$9:$A$874,"20/03/2025",'AT. MEDICAS 2024'!$I$9:$I$874,B68)</f>
        <v>0</v>
      </c>
      <c r="W68" s="30">
        <f>COUNTIFS('AT. MEDICAS 2024'!$A$9:$A$874,"21/03/2025",'AT. MEDICAS 2024'!$I$9:$I$874,B68)</f>
        <v>0</v>
      </c>
      <c r="X68" s="30">
        <f>COUNTIFS('AT. MEDICAS 2024'!$A$9:$A$874,"22/03/2025",'AT. MEDICAS 2024'!$I$9:$I$874,B68)</f>
        <v>0</v>
      </c>
      <c r="Y68" s="30">
        <f>COUNTIFS('AT. MEDICAS 2024'!$A$9:$A$874,"23/03/2025",'AT. MEDICAS 2024'!$I$9:$I$874,B68)</f>
        <v>0</v>
      </c>
      <c r="Z68" s="30">
        <f>COUNTIFS('AT. MEDICAS 2024'!$A$9:$A$874,"24/03/2025",'AT. MEDICAS 2024'!$I$9:$I$874,B68)</f>
        <v>0</v>
      </c>
      <c r="AA68" s="30">
        <f>COUNTIFS('AT. MEDICAS 2024'!$A$9:$A$874,"25/03/2025",'AT. MEDICAS 2024'!$I$9:$I$874,B68)</f>
        <v>0</v>
      </c>
      <c r="AB68" s="30">
        <f>COUNTIFS('AT. MEDICAS 2024'!$A$9:$A$874,"26/03/2025",'AT. MEDICAS 2024'!$I$9:$I$874,B68)</f>
        <v>0</v>
      </c>
      <c r="AC68" s="30">
        <f>COUNTIFS('AT. MEDICAS 2024'!$A$9:$A$874,"27/03/2025",'AT. MEDICAS 2024'!$I$9:$I$874,B68)</f>
        <v>0</v>
      </c>
      <c r="AD68" s="30">
        <f>COUNTIFS('AT. MEDICAS 2024'!$A$9:$A$874,"28/03/2025",'AT. MEDICAS 2024'!$I$9:$I$874,B68)</f>
        <v>0</v>
      </c>
      <c r="AE68" s="30">
        <f>COUNTIFS('AT. MEDICAS 2024'!$A$9:$A$874,"29/03/2025",'AT. MEDICAS 2024'!$I$9:$I$874,B68)</f>
        <v>0</v>
      </c>
      <c r="AF68" s="30">
        <f>COUNTIFS('AT. MEDICAS 2024'!$A$9:$A$874,"30/03/2025",'AT. MEDICAS 2024'!$I$9:$I$874,B68)</f>
        <v>0</v>
      </c>
      <c r="AG68" s="30">
        <f>COUNTIFS('AT. MEDICAS 2024'!$A$9:$A$874,"31/03/2025",'AT. MEDICAS 2024'!$I$9:$I$874,B68)</f>
        <v>0</v>
      </c>
      <c r="AH68" s="55">
        <f t="shared" si="15"/>
        <v>0</v>
      </c>
    </row>
    <row r="69" spans="1:34" ht="13.8" thickBot="1" x14ac:dyDescent="0.3">
      <c r="A69" s="41">
        <v>9</v>
      </c>
      <c r="B69" s="54" t="s">
        <v>188</v>
      </c>
      <c r="C69" s="30">
        <f>COUNTIFS('AT. MEDICAS 2024'!$A$9:$A$874,"01/03/2025",'AT. MEDICAS 2024'!$I$9:$I$874,B69)</f>
        <v>0</v>
      </c>
      <c r="D69" s="30">
        <f>COUNTIFS('AT. MEDICAS 2024'!$A$9:$A$874,"02/03/2025",'AT. MEDICAS 2024'!$I$9:$I$874,B69)</f>
        <v>0</v>
      </c>
      <c r="E69" s="30">
        <f>COUNTIFS('AT. MEDICAS 2024'!$A$9:$A$874,"03/03/2025",'AT. MEDICAS 2024'!$I$9:$I$874,B69)</f>
        <v>0</v>
      </c>
      <c r="F69" s="30">
        <f>COUNTIFS('AT. MEDICAS 2024'!$A$9:$A$874,"04/03/2025",'AT. MEDICAS 2024'!$I$9:$I$874,B69)</f>
        <v>0</v>
      </c>
      <c r="G69" s="30">
        <f>COUNTIFS('AT. MEDICAS 2024'!$A$9:$A$874,"05/03/2025",'AT. MEDICAS 2024'!$I$9:$I$874,B69)</f>
        <v>0</v>
      </c>
      <c r="H69" s="30">
        <f>COUNTIFS('AT. MEDICAS 2024'!$A$9:$A$874,"06/03/2025",'AT. MEDICAS 2024'!$I$9:$I$874,B69)</f>
        <v>0</v>
      </c>
      <c r="I69" s="30">
        <f>COUNTIFS('AT. MEDICAS 2024'!$A$9:$A$874,"07/03/2025",'AT. MEDICAS 2024'!$I$9:$I$874,B69)</f>
        <v>0</v>
      </c>
      <c r="J69" s="30">
        <f>COUNTIFS('AT. MEDICAS 2024'!$A$9:$A$874,"08/03/2025",'AT. MEDICAS 2024'!$I$9:$I$874,B69)</f>
        <v>0</v>
      </c>
      <c r="K69" s="30">
        <f>COUNTIFS('AT. MEDICAS 2024'!$A$9:$A$874,"09/03/2025",'AT. MEDICAS 2024'!$I$9:$I$874,B69)</f>
        <v>0</v>
      </c>
      <c r="L69" s="30">
        <f>COUNTIFS('AT. MEDICAS 2024'!$A$9:$A$874,"10/03/2025",'AT. MEDICAS 2024'!$I$9:$I$874,B69)</f>
        <v>0</v>
      </c>
      <c r="M69" s="30">
        <f>COUNTIFS('AT. MEDICAS 2024'!$A$9:$A$874,"11/03/2025",'AT. MEDICAS 2024'!$I$9:$I$874,B69)</f>
        <v>0</v>
      </c>
      <c r="N69" s="30">
        <f>COUNTIFS('AT. MEDICAS 2024'!$A$9:$A$874,"12/03/2025",'AT. MEDICAS 2024'!$I$9:$I$874,B69)</f>
        <v>0</v>
      </c>
      <c r="O69" s="30">
        <f>COUNTIFS('AT. MEDICAS 2024'!$A$9:$A$874,"13/03/2025",'AT. MEDICAS 2024'!$I$9:$I$874,B69)</f>
        <v>0</v>
      </c>
      <c r="P69" s="30">
        <f>COUNTIFS('AT. MEDICAS 2024'!$A$9:$A$874,"14/03/2025",'AT. MEDICAS 2024'!$I$9:$I$874,B69)</f>
        <v>0</v>
      </c>
      <c r="Q69" s="30">
        <f>COUNTIFS('AT. MEDICAS 2024'!$A$9:$A$874,"15/03/2025",'AT. MEDICAS 2024'!$I$9:$I$874,B69)</f>
        <v>0</v>
      </c>
      <c r="R69" s="30">
        <f>COUNTIFS('AT. MEDICAS 2024'!$A$9:$A$874,"16/03/2025",'AT. MEDICAS 2024'!$I$9:$I$874,B69)</f>
        <v>0</v>
      </c>
      <c r="S69" s="30">
        <f>COUNTIFS('AT. MEDICAS 2024'!$A$9:$A$874,"17/03/2025",'AT. MEDICAS 2024'!$I$9:$I$874,B69)</f>
        <v>0</v>
      </c>
      <c r="T69" s="30">
        <f>COUNTIFS('AT. MEDICAS 2024'!$A$9:$A$874,"18/03/2025",'AT. MEDICAS 2024'!$I$9:$I$874,B69)</f>
        <v>0</v>
      </c>
      <c r="U69" s="30">
        <f>COUNTIFS('AT. MEDICAS 2024'!$A$9:$A$874,"19/03/2025",'AT. MEDICAS 2024'!$I$9:$I$874,B69)</f>
        <v>0</v>
      </c>
      <c r="V69" s="30">
        <f>COUNTIFS('AT. MEDICAS 2024'!$A$9:$A$874,"20/03/2025",'AT. MEDICAS 2024'!$I$9:$I$874,B69)</f>
        <v>0</v>
      </c>
      <c r="W69" s="30">
        <f>COUNTIFS('AT. MEDICAS 2024'!$A$9:$A$874,"21/03/2025",'AT. MEDICAS 2024'!$I$9:$I$874,B69)</f>
        <v>0</v>
      </c>
      <c r="X69" s="30">
        <f>COUNTIFS('AT. MEDICAS 2024'!$A$9:$A$874,"22/03/2025",'AT. MEDICAS 2024'!$I$9:$I$874,B69)</f>
        <v>0</v>
      </c>
      <c r="Y69" s="30">
        <f>COUNTIFS('AT. MEDICAS 2024'!$A$9:$A$874,"23/03/2025",'AT. MEDICAS 2024'!$I$9:$I$874,B69)</f>
        <v>0</v>
      </c>
      <c r="Z69" s="30">
        <f>COUNTIFS('AT. MEDICAS 2024'!$A$9:$A$874,"24/03/2025",'AT. MEDICAS 2024'!$I$9:$I$874,B69)</f>
        <v>0</v>
      </c>
      <c r="AA69" s="30">
        <f>COUNTIFS('AT. MEDICAS 2024'!$A$9:$A$874,"25/03/2025",'AT. MEDICAS 2024'!$I$9:$I$874,B69)</f>
        <v>0</v>
      </c>
      <c r="AB69" s="30">
        <f>COUNTIFS('AT. MEDICAS 2024'!$A$9:$A$874,"26/03/2025",'AT. MEDICAS 2024'!$I$9:$I$874,B69)</f>
        <v>0</v>
      </c>
      <c r="AC69" s="30">
        <f>COUNTIFS('AT. MEDICAS 2024'!$A$9:$A$874,"27/03/2025",'AT. MEDICAS 2024'!$I$9:$I$874,B69)</f>
        <v>0</v>
      </c>
      <c r="AD69" s="30">
        <f>COUNTIFS('AT. MEDICAS 2024'!$A$9:$A$874,"28/03/2025",'AT. MEDICAS 2024'!$I$9:$I$874,B69)</f>
        <v>0</v>
      </c>
      <c r="AE69" s="30">
        <f>COUNTIFS('AT. MEDICAS 2024'!$A$9:$A$874,"29/03/2025",'AT. MEDICAS 2024'!$I$9:$I$874,B69)</f>
        <v>0</v>
      </c>
      <c r="AF69" s="30">
        <f>COUNTIFS('AT. MEDICAS 2024'!$A$9:$A$874,"30/03/2025",'AT. MEDICAS 2024'!$I$9:$I$874,B69)</f>
        <v>0</v>
      </c>
      <c r="AG69" s="30">
        <f>COUNTIFS('AT. MEDICAS 2024'!$A$9:$A$874,"31/03/2025",'AT. MEDICAS 2024'!$I$9:$I$874,B69)</f>
        <v>0</v>
      </c>
      <c r="AH69" s="55">
        <f t="shared" si="15"/>
        <v>0</v>
      </c>
    </row>
    <row r="70" spans="1:34" ht="13.8" thickBot="1" x14ac:dyDescent="0.3">
      <c r="A70" s="41">
        <v>10</v>
      </c>
      <c r="B70" s="54" t="s">
        <v>97</v>
      </c>
      <c r="C70" s="30">
        <f>COUNTIFS('AT. MEDICAS 2024'!$A$9:$A$874,"01/03/2025",'AT. MEDICAS 2024'!$I$9:$I$874,B70)</f>
        <v>0</v>
      </c>
      <c r="D70" s="30">
        <f>COUNTIFS('AT. MEDICAS 2024'!$A$9:$A$874,"02/03/2025",'AT. MEDICAS 2024'!$I$9:$I$874,B70)</f>
        <v>0</v>
      </c>
      <c r="E70" s="30">
        <f>COUNTIFS('AT. MEDICAS 2024'!$A$9:$A$874,"03/03/2025",'AT. MEDICAS 2024'!$I$9:$I$874,B70)</f>
        <v>0</v>
      </c>
      <c r="F70" s="30">
        <f>COUNTIFS('AT. MEDICAS 2024'!$A$9:$A$874,"04/03/2025",'AT. MEDICAS 2024'!$I$9:$I$874,B70)</f>
        <v>0</v>
      </c>
      <c r="G70" s="30">
        <f>COUNTIFS('AT. MEDICAS 2024'!$A$9:$A$874,"05/03/2025",'AT. MEDICAS 2024'!$I$9:$I$874,B70)</f>
        <v>0</v>
      </c>
      <c r="H70" s="30">
        <f>COUNTIFS('AT. MEDICAS 2024'!$A$9:$A$874,"06/03/2025",'AT. MEDICAS 2024'!$I$9:$I$874,B70)</f>
        <v>0</v>
      </c>
      <c r="I70" s="30">
        <f>COUNTIFS('AT. MEDICAS 2024'!$A$9:$A$874,"07/03/2025",'AT. MEDICAS 2024'!$I$9:$I$874,B70)</f>
        <v>0</v>
      </c>
      <c r="J70" s="30">
        <f>COUNTIFS('AT. MEDICAS 2024'!$A$9:$A$874,"08/03/2025",'AT. MEDICAS 2024'!$I$9:$I$874,B70)</f>
        <v>0</v>
      </c>
      <c r="K70" s="30">
        <f>COUNTIFS('AT. MEDICAS 2024'!$A$9:$A$874,"09/03/2025",'AT. MEDICAS 2024'!$I$9:$I$874,B70)</f>
        <v>0</v>
      </c>
      <c r="L70" s="30">
        <f>COUNTIFS('AT. MEDICAS 2024'!$A$9:$A$874,"10/03/2025",'AT. MEDICAS 2024'!$I$9:$I$874,B70)</f>
        <v>0</v>
      </c>
      <c r="M70" s="30">
        <f>COUNTIFS('AT. MEDICAS 2024'!$A$9:$A$874,"11/03/2025",'AT. MEDICAS 2024'!$I$9:$I$874,B70)</f>
        <v>0</v>
      </c>
      <c r="N70" s="30">
        <f>COUNTIFS('AT. MEDICAS 2024'!$A$9:$A$874,"12/03/2025",'AT. MEDICAS 2024'!$I$9:$I$874,B70)</f>
        <v>0</v>
      </c>
      <c r="O70" s="30">
        <f>COUNTIFS('AT. MEDICAS 2024'!$A$9:$A$874,"13/03/2025",'AT. MEDICAS 2024'!$I$9:$I$874,B70)</f>
        <v>0</v>
      </c>
      <c r="P70" s="30">
        <f>COUNTIFS('AT. MEDICAS 2024'!$A$9:$A$874,"14/03/2025",'AT. MEDICAS 2024'!$I$9:$I$874,B70)</f>
        <v>0</v>
      </c>
      <c r="Q70" s="30">
        <f>COUNTIFS('AT. MEDICAS 2024'!$A$9:$A$874,"15/03/2025",'AT. MEDICAS 2024'!$I$9:$I$874,B70)</f>
        <v>0</v>
      </c>
      <c r="R70" s="30">
        <f>COUNTIFS('AT. MEDICAS 2024'!$A$9:$A$874,"16/03/2025",'AT. MEDICAS 2024'!$I$9:$I$874,B70)</f>
        <v>0</v>
      </c>
      <c r="S70" s="30">
        <f>COUNTIFS('AT. MEDICAS 2024'!$A$9:$A$874,"17/03/2025",'AT. MEDICAS 2024'!$I$9:$I$874,B70)</f>
        <v>0</v>
      </c>
      <c r="T70" s="30">
        <f>COUNTIFS('AT. MEDICAS 2024'!$A$9:$A$874,"18/03/2025",'AT. MEDICAS 2024'!$I$9:$I$874,B70)</f>
        <v>0</v>
      </c>
      <c r="U70" s="30">
        <f>COUNTIFS('AT. MEDICAS 2024'!$A$9:$A$874,"19/03/2025",'AT. MEDICAS 2024'!$I$9:$I$874,B70)</f>
        <v>0</v>
      </c>
      <c r="V70" s="30">
        <f>COUNTIFS('AT. MEDICAS 2024'!$A$9:$A$874,"20/03/2025",'AT. MEDICAS 2024'!$I$9:$I$874,B70)</f>
        <v>0</v>
      </c>
      <c r="W70" s="30">
        <f>COUNTIFS('AT. MEDICAS 2024'!$A$9:$A$874,"21/03/2025",'AT. MEDICAS 2024'!$I$9:$I$874,B70)</f>
        <v>0</v>
      </c>
      <c r="X70" s="30">
        <f>COUNTIFS('AT. MEDICAS 2024'!$A$9:$A$874,"22/03/2025",'AT. MEDICAS 2024'!$I$9:$I$874,B70)</f>
        <v>0</v>
      </c>
      <c r="Y70" s="30">
        <f>COUNTIFS('AT. MEDICAS 2024'!$A$9:$A$874,"23/03/2025",'AT. MEDICAS 2024'!$I$9:$I$874,B70)</f>
        <v>0</v>
      </c>
      <c r="Z70" s="30">
        <f>COUNTIFS('AT. MEDICAS 2024'!$A$9:$A$874,"24/03/2025",'AT. MEDICAS 2024'!$I$9:$I$874,B70)</f>
        <v>0</v>
      </c>
      <c r="AA70" s="30">
        <f>COUNTIFS('AT. MEDICAS 2024'!$A$9:$A$874,"25/03/2025",'AT. MEDICAS 2024'!$I$9:$I$874,B70)</f>
        <v>0</v>
      </c>
      <c r="AB70" s="30">
        <f>COUNTIFS('AT. MEDICAS 2024'!$A$9:$A$874,"26/03/2025",'AT. MEDICAS 2024'!$I$9:$I$874,B70)</f>
        <v>0</v>
      </c>
      <c r="AC70" s="30">
        <f>COUNTIFS('AT. MEDICAS 2024'!$A$9:$A$874,"27/03/2025",'AT. MEDICAS 2024'!$I$9:$I$874,B70)</f>
        <v>0</v>
      </c>
      <c r="AD70" s="30">
        <f>COUNTIFS('AT. MEDICAS 2024'!$A$9:$A$874,"28/03/2025",'AT. MEDICAS 2024'!$I$9:$I$874,B70)</f>
        <v>0</v>
      </c>
      <c r="AE70" s="30">
        <f>COUNTIFS('AT. MEDICAS 2024'!$A$9:$A$874,"29/03/2025",'AT. MEDICAS 2024'!$I$9:$I$874,B70)</f>
        <v>0</v>
      </c>
      <c r="AF70" s="30">
        <f>COUNTIFS('AT. MEDICAS 2024'!$A$9:$A$874,"30/03/2025",'AT. MEDICAS 2024'!$I$9:$I$874,B70)</f>
        <v>0</v>
      </c>
      <c r="AG70" s="30">
        <f>COUNTIFS('AT. MEDICAS 2024'!$A$9:$A$874,"31/03/2025",'AT. MEDICAS 2024'!$I$9:$I$874,B70)</f>
        <v>0</v>
      </c>
      <c r="AH70" s="55">
        <f t="shared" si="15"/>
        <v>0</v>
      </c>
    </row>
    <row r="71" spans="1:34" ht="13.8" thickBot="1" x14ac:dyDescent="0.3">
      <c r="A71" s="41">
        <v>11</v>
      </c>
      <c r="B71" s="54" t="s">
        <v>21</v>
      </c>
      <c r="C71" s="30">
        <f>COUNTIFS('AT. MEDICAS 2024'!$A$9:$A$874,"01/03/2025",'AT. MEDICAS 2024'!$I$9:$I$874,B71)</f>
        <v>0</v>
      </c>
      <c r="D71" s="30">
        <f>COUNTIFS('AT. MEDICAS 2024'!$A$9:$A$874,"02/03/2025",'AT. MEDICAS 2024'!$I$9:$I$874,B71)</f>
        <v>0</v>
      </c>
      <c r="E71" s="30">
        <f>COUNTIFS('AT. MEDICAS 2024'!$A$9:$A$874,"03/03/2025",'AT. MEDICAS 2024'!$I$9:$I$874,B71)</f>
        <v>0</v>
      </c>
      <c r="F71" s="30">
        <f>COUNTIFS('AT. MEDICAS 2024'!$A$9:$A$874,"04/03/2025",'AT. MEDICAS 2024'!$I$9:$I$874,B71)</f>
        <v>0</v>
      </c>
      <c r="G71" s="30">
        <f>COUNTIFS('AT. MEDICAS 2024'!$A$9:$A$874,"05/03/2025",'AT. MEDICAS 2024'!$I$9:$I$874,B71)</f>
        <v>0</v>
      </c>
      <c r="H71" s="30">
        <f>COUNTIFS('AT. MEDICAS 2024'!$A$9:$A$874,"06/03/2025",'AT. MEDICAS 2024'!$I$9:$I$874,B71)</f>
        <v>0</v>
      </c>
      <c r="I71" s="30">
        <f>COUNTIFS('AT. MEDICAS 2024'!$A$9:$A$874,"07/03/2025",'AT. MEDICAS 2024'!$I$9:$I$874,B71)</f>
        <v>0</v>
      </c>
      <c r="J71" s="30">
        <f>COUNTIFS('AT. MEDICAS 2024'!$A$9:$A$874,"08/03/2025",'AT. MEDICAS 2024'!$I$9:$I$874,B71)</f>
        <v>0</v>
      </c>
      <c r="K71" s="30">
        <f>COUNTIFS('AT. MEDICAS 2024'!$A$9:$A$874,"09/03/2025",'AT. MEDICAS 2024'!$I$9:$I$874,B71)</f>
        <v>0</v>
      </c>
      <c r="L71" s="30">
        <f>COUNTIFS('AT. MEDICAS 2024'!$A$9:$A$874,"10/03/2025",'AT. MEDICAS 2024'!$I$9:$I$874,B71)</f>
        <v>0</v>
      </c>
      <c r="M71" s="30">
        <f>COUNTIFS('AT. MEDICAS 2024'!$A$9:$A$874,"11/03/2025",'AT. MEDICAS 2024'!$I$9:$I$874,B71)</f>
        <v>0</v>
      </c>
      <c r="N71" s="30">
        <f>COUNTIFS('AT. MEDICAS 2024'!$A$9:$A$874,"12/03/2025",'AT. MEDICAS 2024'!$I$9:$I$874,B71)</f>
        <v>0</v>
      </c>
      <c r="O71" s="30">
        <f>COUNTIFS('AT. MEDICAS 2024'!$A$9:$A$874,"13/03/2025",'AT. MEDICAS 2024'!$I$9:$I$874,B71)</f>
        <v>0</v>
      </c>
      <c r="P71" s="30">
        <f>COUNTIFS('AT. MEDICAS 2024'!$A$9:$A$874,"14/03/2025",'AT. MEDICAS 2024'!$I$9:$I$874,B71)</f>
        <v>0</v>
      </c>
      <c r="Q71" s="30">
        <f>COUNTIFS('AT. MEDICAS 2024'!$A$9:$A$874,"15/03/2025",'AT. MEDICAS 2024'!$I$9:$I$874,B71)</f>
        <v>0</v>
      </c>
      <c r="R71" s="30">
        <f>COUNTIFS('AT. MEDICAS 2024'!$A$9:$A$874,"16/03/2025",'AT. MEDICAS 2024'!$I$9:$I$874,B71)</f>
        <v>0</v>
      </c>
      <c r="S71" s="30">
        <f>COUNTIFS('AT. MEDICAS 2024'!$A$9:$A$874,"17/03/2025",'AT. MEDICAS 2024'!$I$9:$I$874,B71)</f>
        <v>0</v>
      </c>
      <c r="T71" s="30">
        <f>COUNTIFS('AT. MEDICAS 2024'!$A$9:$A$874,"18/03/2025",'AT. MEDICAS 2024'!$I$9:$I$874,B71)</f>
        <v>0</v>
      </c>
      <c r="U71" s="30">
        <f>COUNTIFS('AT. MEDICAS 2024'!$A$9:$A$874,"19/03/2025",'AT. MEDICAS 2024'!$I$9:$I$874,B71)</f>
        <v>0</v>
      </c>
      <c r="V71" s="30">
        <f>COUNTIFS('AT. MEDICAS 2024'!$A$9:$A$874,"20/03/2025",'AT. MEDICAS 2024'!$I$9:$I$874,B71)</f>
        <v>0</v>
      </c>
      <c r="W71" s="30">
        <f>COUNTIFS('AT. MEDICAS 2024'!$A$9:$A$874,"21/03/2025",'AT. MEDICAS 2024'!$I$9:$I$874,B71)</f>
        <v>0</v>
      </c>
      <c r="X71" s="30">
        <f>COUNTIFS('AT. MEDICAS 2024'!$A$9:$A$874,"22/03/2025",'AT. MEDICAS 2024'!$I$9:$I$874,B71)</f>
        <v>0</v>
      </c>
      <c r="Y71" s="30">
        <f>COUNTIFS('AT. MEDICAS 2024'!$A$9:$A$874,"23/03/2025",'AT. MEDICAS 2024'!$I$9:$I$874,B71)</f>
        <v>0</v>
      </c>
      <c r="Z71" s="30">
        <f>COUNTIFS('AT. MEDICAS 2024'!$A$9:$A$874,"24/03/2025",'AT. MEDICAS 2024'!$I$9:$I$874,B71)</f>
        <v>0</v>
      </c>
      <c r="AA71" s="30">
        <f>COUNTIFS('AT. MEDICAS 2024'!$A$9:$A$874,"25/03/2025",'AT. MEDICAS 2024'!$I$9:$I$874,B71)</f>
        <v>0</v>
      </c>
      <c r="AB71" s="30">
        <f>COUNTIFS('AT. MEDICAS 2024'!$A$9:$A$874,"26/03/2025",'AT. MEDICAS 2024'!$I$9:$I$874,B71)</f>
        <v>0</v>
      </c>
      <c r="AC71" s="30">
        <f>COUNTIFS('AT. MEDICAS 2024'!$A$9:$A$874,"27/03/2025",'AT. MEDICAS 2024'!$I$9:$I$874,B71)</f>
        <v>0</v>
      </c>
      <c r="AD71" s="30">
        <f>COUNTIFS('AT. MEDICAS 2024'!$A$9:$A$874,"28/03/2025",'AT. MEDICAS 2024'!$I$9:$I$874,B71)</f>
        <v>0</v>
      </c>
      <c r="AE71" s="30">
        <f>COUNTIFS('AT. MEDICAS 2024'!$A$9:$A$874,"29/03/2025",'AT. MEDICAS 2024'!$I$9:$I$874,B71)</f>
        <v>0</v>
      </c>
      <c r="AF71" s="30">
        <f>COUNTIFS('AT. MEDICAS 2024'!$A$9:$A$874,"30/03/2025",'AT. MEDICAS 2024'!$I$9:$I$874,B71)</f>
        <v>0</v>
      </c>
      <c r="AG71" s="30">
        <f>COUNTIFS('AT. MEDICAS 2024'!$A$9:$A$874,"31/03/2025",'AT. MEDICAS 2024'!$I$9:$I$874,B71)</f>
        <v>0</v>
      </c>
      <c r="AH71" s="55">
        <f t="shared" si="15"/>
        <v>0</v>
      </c>
    </row>
    <row r="72" spans="1:34" ht="13.8" thickBot="1" x14ac:dyDescent="0.3">
      <c r="A72" s="41">
        <v>12</v>
      </c>
      <c r="B72" s="54" t="s">
        <v>23</v>
      </c>
      <c r="C72" s="30">
        <f>COUNTIFS('AT. MEDICAS 2024'!$A$9:$A$874,"01/03/2025",'AT. MEDICAS 2024'!$I$9:$I$874,B72)</f>
        <v>0</v>
      </c>
      <c r="D72" s="30">
        <f>COUNTIFS('AT. MEDICAS 2024'!$A$9:$A$874,"02/03/2025",'AT. MEDICAS 2024'!$I$9:$I$874,B72)</f>
        <v>0</v>
      </c>
      <c r="E72" s="30">
        <f>COUNTIFS('AT. MEDICAS 2024'!$A$9:$A$874,"03/03/2025",'AT. MEDICAS 2024'!$I$9:$I$874,B72)</f>
        <v>0</v>
      </c>
      <c r="F72" s="30">
        <f>COUNTIFS('AT. MEDICAS 2024'!$A$9:$A$874,"04/03/2025",'AT. MEDICAS 2024'!$I$9:$I$874,B72)</f>
        <v>0</v>
      </c>
      <c r="G72" s="30">
        <f>COUNTIFS('AT. MEDICAS 2024'!$A$9:$A$874,"05/03/2025",'AT. MEDICAS 2024'!$I$9:$I$874,B72)</f>
        <v>0</v>
      </c>
      <c r="H72" s="30">
        <f>COUNTIFS('AT. MEDICAS 2024'!$A$9:$A$874,"06/03/2025",'AT. MEDICAS 2024'!$I$9:$I$874,B72)</f>
        <v>0</v>
      </c>
      <c r="I72" s="30">
        <f>COUNTIFS('AT. MEDICAS 2024'!$A$9:$A$874,"07/03/2025",'AT. MEDICAS 2024'!$I$9:$I$874,B72)</f>
        <v>0</v>
      </c>
      <c r="J72" s="30">
        <f>COUNTIFS('AT. MEDICAS 2024'!$A$9:$A$874,"08/03/2025",'AT. MEDICAS 2024'!$I$9:$I$874,B72)</f>
        <v>0</v>
      </c>
      <c r="K72" s="30">
        <f>COUNTIFS('AT. MEDICAS 2024'!$A$9:$A$874,"09/03/2025",'AT. MEDICAS 2024'!$I$9:$I$874,B72)</f>
        <v>0</v>
      </c>
      <c r="L72" s="30">
        <f>COUNTIFS('AT. MEDICAS 2024'!$A$9:$A$874,"10/03/2025",'AT. MEDICAS 2024'!$I$9:$I$874,B72)</f>
        <v>0</v>
      </c>
      <c r="M72" s="30">
        <f>COUNTIFS('AT. MEDICAS 2024'!$A$9:$A$874,"11/03/2025",'AT. MEDICAS 2024'!$I$9:$I$874,B72)</f>
        <v>0</v>
      </c>
      <c r="N72" s="30">
        <f>COUNTIFS('AT. MEDICAS 2024'!$A$9:$A$874,"12/03/2025",'AT. MEDICAS 2024'!$I$9:$I$874,B72)</f>
        <v>0</v>
      </c>
      <c r="O72" s="30">
        <f>COUNTIFS('AT. MEDICAS 2024'!$A$9:$A$874,"13/03/2025",'AT. MEDICAS 2024'!$I$9:$I$874,B72)</f>
        <v>0</v>
      </c>
      <c r="P72" s="30">
        <f>COUNTIFS('AT. MEDICAS 2024'!$A$9:$A$874,"14/03/2025",'AT. MEDICAS 2024'!$I$9:$I$874,B72)</f>
        <v>0</v>
      </c>
      <c r="Q72" s="30">
        <f>COUNTIFS('AT. MEDICAS 2024'!$A$9:$A$874,"15/03/2025",'AT. MEDICAS 2024'!$I$9:$I$874,B72)</f>
        <v>0</v>
      </c>
      <c r="R72" s="30">
        <f>COUNTIFS('AT. MEDICAS 2024'!$A$9:$A$874,"16/03/2025",'AT. MEDICAS 2024'!$I$9:$I$874,B72)</f>
        <v>0</v>
      </c>
      <c r="S72" s="30">
        <f>COUNTIFS('AT. MEDICAS 2024'!$A$9:$A$874,"17/03/2025",'AT. MEDICAS 2024'!$I$9:$I$874,B72)</f>
        <v>0</v>
      </c>
      <c r="T72" s="30">
        <f>COUNTIFS('AT. MEDICAS 2024'!$A$9:$A$874,"18/03/2025",'AT. MEDICAS 2024'!$I$9:$I$874,B72)</f>
        <v>0</v>
      </c>
      <c r="U72" s="30">
        <f>COUNTIFS('AT. MEDICAS 2024'!$A$9:$A$874,"19/03/2025",'AT. MEDICAS 2024'!$I$9:$I$874,B72)</f>
        <v>0</v>
      </c>
      <c r="V72" s="30">
        <f>COUNTIFS('AT. MEDICAS 2024'!$A$9:$A$874,"20/03/2025",'AT. MEDICAS 2024'!$I$9:$I$874,B72)</f>
        <v>0</v>
      </c>
      <c r="W72" s="30">
        <f>COUNTIFS('AT. MEDICAS 2024'!$A$9:$A$874,"21/03/2025",'AT. MEDICAS 2024'!$I$9:$I$874,B72)</f>
        <v>0</v>
      </c>
      <c r="X72" s="30">
        <f>COUNTIFS('AT. MEDICAS 2024'!$A$9:$A$874,"22/03/2025",'AT. MEDICAS 2024'!$I$9:$I$874,B72)</f>
        <v>0</v>
      </c>
      <c r="Y72" s="30">
        <f>COUNTIFS('AT. MEDICAS 2024'!$A$9:$A$874,"23/03/2025",'AT. MEDICAS 2024'!$I$9:$I$874,B72)</f>
        <v>0</v>
      </c>
      <c r="Z72" s="30">
        <f>COUNTIFS('AT. MEDICAS 2024'!$A$9:$A$874,"24/03/2025",'AT. MEDICAS 2024'!$I$9:$I$874,B72)</f>
        <v>0</v>
      </c>
      <c r="AA72" s="30">
        <f>COUNTIFS('AT. MEDICAS 2024'!$A$9:$A$874,"25/03/2025",'AT. MEDICAS 2024'!$I$9:$I$874,B72)</f>
        <v>0</v>
      </c>
      <c r="AB72" s="30">
        <f>COUNTIFS('AT. MEDICAS 2024'!$A$9:$A$874,"26/03/2025",'AT. MEDICAS 2024'!$I$9:$I$874,B72)</f>
        <v>0</v>
      </c>
      <c r="AC72" s="30">
        <f>COUNTIFS('AT. MEDICAS 2024'!$A$9:$A$874,"27/03/2025",'AT. MEDICAS 2024'!$I$9:$I$874,B72)</f>
        <v>0</v>
      </c>
      <c r="AD72" s="30">
        <f>COUNTIFS('AT. MEDICAS 2024'!$A$9:$A$874,"28/03/2025",'AT. MEDICAS 2024'!$I$9:$I$874,B72)</f>
        <v>0</v>
      </c>
      <c r="AE72" s="30">
        <f>COUNTIFS('AT. MEDICAS 2024'!$A$9:$A$874,"29/03/2025",'AT. MEDICAS 2024'!$I$9:$I$874,B72)</f>
        <v>0</v>
      </c>
      <c r="AF72" s="30">
        <f>COUNTIFS('AT. MEDICAS 2024'!$A$9:$A$874,"30/03/2025",'AT. MEDICAS 2024'!$I$9:$I$874,B72)</f>
        <v>0</v>
      </c>
      <c r="AG72" s="30">
        <f>COUNTIFS('AT. MEDICAS 2024'!$A$9:$A$874,"31/03/2025",'AT. MEDICAS 2024'!$I$9:$I$874,B72)</f>
        <v>0</v>
      </c>
      <c r="AH72" s="55">
        <f t="shared" si="15"/>
        <v>0</v>
      </c>
    </row>
    <row r="73" spans="1:34" ht="13.8" thickBot="1" x14ac:dyDescent="0.3">
      <c r="A73" s="41">
        <v>13</v>
      </c>
      <c r="B73" s="54" t="s">
        <v>57</v>
      </c>
      <c r="C73" s="30">
        <f>COUNTIFS('AT. MEDICAS 2024'!$A$9:$A$874,"01/03/2025",'AT. MEDICAS 2024'!$I$9:$I$874,B73)</f>
        <v>0</v>
      </c>
      <c r="D73" s="30">
        <f>COUNTIFS('AT. MEDICAS 2024'!$A$9:$A$874,"02/03/2025",'AT. MEDICAS 2024'!$I$9:$I$874,B73)</f>
        <v>0</v>
      </c>
      <c r="E73" s="30">
        <f>COUNTIFS('AT. MEDICAS 2024'!$A$9:$A$874,"03/03/2025",'AT. MEDICAS 2024'!$I$9:$I$874,B73)</f>
        <v>0</v>
      </c>
      <c r="F73" s="30">
        <f>COUNTIFS('AT. MEDICAS 2024'!$A$9:$A$874,"04/03/2025",'AT. MEDICAS 2024'!$I$9:$I$874,B73)</f>
        <v>0</v>
      </c>
      <c r="G73" s="30">
        <f>COUNTIFS('AT. MEDICAS 2024'!$A$9:$A$874,"05/03/2025",'AT. MEDICAS 2024'!$I$9:$I$874,B73)</f>
        <v>0</v>
      </c>
      <c r="H73" s="30">
        <f>COUNTIFS('AT. MEDICAS 2024'!$A$9:$A$874,"06/03/2025",'AT. MEDICAS 2024'!$I$9:$I$874,B73)</f>
        <v>0</v>
      </c>
      <c r="I73" s="30">
        <f>COUNTIFS('AT. MEDICAS 2024'!$A$9:$A$874,"07/03/2025",'AT. MEDICAS 2024'!$I$9:$I$874,B73)</f>
        <v>0</v>
      </c>
      <c r="J73" s="30">
        <f>COUNTIFS('AT. MEDICAS 2024'!$A$9:$A$874,"08/03/2025",'AT. MEDICAS 2024'!$I$9:$I$874,B73)</f>
        <v>0</v>
      </c>
      <c r="K73" s="30">
        <f>COUNTIFS('AT. MEDICAS 2024'!$A$9:$A$874,"09/03/2025",'AT. MEDICAS 2024'!$I$9:$I$874,B73)</f>
        <v>0</v>
      </c>
      <c r="L73" s="30">
        <f>COUNTIFS('AT. MEDICAS 2024'!$A$9:$A$874,"10/03/2025",'AT. MEDICAS 2024'!$I$9:$I$874,B73)</f>
        <v>0</v>
      </c>
      <c r="M73" s="30">
        <f>COUNTIFS('AT. MEDICAS 2024'!$A$9:$A$874,"11/03/2025",'AT. MEDICAS 2024'!$I$9:$I$874,B73)</f>
        <v>0</v>
      </c>
      <c r="N73" s="30">
        <f>COUNTIFS('AT. MEDICAS 2024'!$A$9:$A$874,"12/03/2025",'AT. MEDICAS 2024'!$I$9:$I$874,B73)</f>
        <v>0</v>
      </c>
      <c r="O73" s="30">
        <f>COUNTIFS('AT. MEDICAS 2024'!$A$9:$A$874,"13/03/2025",'AT. MEDICAS 2024'!$I$9:$I$874,B73)</f>
        <v>0</v>
      </c>
      <c r="P73" s="30">
        <f>COUNTIFS('AT. MEDICAS 2024'!$A$9:$A$874,"14/03/2025",'AT. MEDICAS 2024'!$I$9:$I$874,B73)</f>
        <v>0</v>
      </c>
      <c r="Q73" s="30">
        <f>COUNTIFS('AT. MEDICAS 2024'!$A$9:$A$874,"15/03/2025",'AT. MEDICAS 2024'!$I$9:$I$874,B73)</f>
        <v>0</v>
      </c>
      <c r="R73" s="30">
        <f>COUNTIFS('AT. MEDICAS 2024'!$A$9:$A$874,"16/03/2025",'AT. MEDICAS 2024'!$I$9:$I$874,B73)</f>
        <v>0</v>
      </c>
      <c r="S73" s="30">
        <f>COUNTIFS('AT. MEDICAS 2024'!$A$9:$A$874,"17/03/2025",'AT. MEDICAS 2024'!$I$9:$I$874,B73)</f>
        <v>0</v>
      </c>
      <c r="T73" s="30">
        <f>COUNTIFS('AT. MEDICAS 2024'!$A$9:$A$874,"18/03/2025",'AT. MEDICAS 2024'!$I$9:$I$874,B73)</f>
        <v>0</v>
      </c>
      <c r="U73" s="30">
        <f>COUNTIFS('AT. MEDICAS 2024'!$A$9:$A$874,"19/03/2025",'AT. MEDICAS 2024'!$I$9:$I$874,B73)</f>
        <v>0</v>
      </c>
      <c r="V73" s="30">
        <f>COUNTIFS('AT. MEDICAS 2024'!$A$9:$A$874,"20/03/2025",'AT. MEDICAS 2024'!$I$9:$I$874,B73)</f>
        <v>0</v>
      </c>
      <c r="W73" s="30">
        <f>COUNTIFS('AT. MEDICAS 2024'!$A$9:$A$874,"21/03/2025",'AT. MEDICAS 2024'!$I$9:$I$874,B73)</f>
        <v>0</v>
      </c>
      <c r="X73" s="30">
        <f>COUNTIFS('AT. MEDICAS 2024'!$A$9:$A$874,"22/03/2025",'AT. MEDICAS 2024'!$I$9:$I$874,B73)</f>
        <v>0</v>
      </c>
      <c r="Y73" s="30">
        <f>COUNTIFS('AT. MEDICAS 2024'!$A$9:$A$874,"23/03/2025",'AT. MEDICAS 2024'!$I$9:$I$874,B73)</f>
        <v>0</v>
      </c>
      <c r="Z73" s="30">
        <f>COUNTIFS('AT. MEDICAS 2024'!$A$9:$A$874,"24/03/2025",'AT. MEDICAS 2024'!$I$9:$I$874,B73)</f>
        <v>0</v>
      </c>
      <c r="AA73" s="30">
        <f>COUNTIFS('AT. MEDICAS 2024'!$A$9:$A$874,"25/03/2025",'AT. MEDICAS 2024'!$I$9:$I$874,B73)</f>
        <v>0</v>
      </c>
      <c r="AB73" s="30">
        <f>COUNTIFS('AT. MEDICAS 2024'!$A$9:$A$874,"26/03/2025",'AT. MEDICAS 2024'!$I$9:$I$874,B73)</f>
        <v>0</v>
      </c>
      <c r="AC73" s="30">
        <f>COUNTIFS('AT. MEDICAS 2024'!$A$9:$A$874,"27/03/2025",'AT. MEDICAS 2024'!$I$9:$I$874,B73)</f>
        <v>0</v>
      </c>
      <c r="AD73" s="30">
        <f>COUNTIFS('AT. MEDICAS 2024'!$A$9:$A$874,"28/03/2025",'AT. MEDICAS 2024'!$I$9:$I$874,B73)</f>
        <v>0</v>
      </c>
      <c r="AE73" s="30">
        <f>COUNTIFS('AT. MEDICAS 2024'!$A$9:$A$874,"29/03/2025",'AT. MEDICAS 2024'!$I$9:$I$874,B73)</f>
        <v>0</v>
      </c>
      <c r="AF73" s="30">
        <f>COUNTIFS('AT. MEDICAS 2024'!$A$9:$A$874,"30/03/2025",'AT. MEDICAS 2024'!$I$9:$I$874,B73)</f>
        <v>0</v>
      </c>
      <c r="AG73" s="30">
        <f>COUNTIFS('AT. MEDICAS 2024'!$A$9:$A$874,"31/03/2025",'AT. MEDICAS 2024'!$I$9:$I$874,B73)</f>
        <v>0</v>
      </c>
      <c r="AH73" s="55">
        <f t="shared" si="15"/>
        <v>0</v>
      </c>
    </row>
    <row r="74" spans="1:34" ht="13.8" thickBot="1" x14ac:dyDescent="0.3">
      <c r="A74" s="41">
        <v>14</v>
      </c>
      <c r="B74" s="54" t="s">
        <v>66</v>
      </c>
      <c r="C74" s="30">
        <f>COUNTIFS('AT. MEDICAS 2024'!$A$9:$A$874,"01/03/2025",'AT. MEDICAS 2024'!$I$9:$I$874,B74)</f>
        <v>0</v>
      </c>
      <c r="D74" s="30">
        <f>COUNTIFS('AT. MEDICAS 2024'!$A$9:$A$874,"02/03/2025",'AT. MEDICAS 2024'!$I$9:$I$874,B74)</f>
        <v>0</v>
      </c>
      <c r="E74" s="30">
        <f>COUNTIFS('AT. MEDICAS 2024'!$A$9:$A$874,"03/03/2025",'AT. MEDICAS 2024'!$I$9:$I$874,B74)</f>
        <v>0</v>
      </c>
      <c r="F74" s="30">
        <f>COUNTIFS('AT. MEDICAS 2024'!$A$9:$A$874,"04/03/2025",'AT. MEDICAS 2024'!$I$9:$I$874,B74)</f>
        <v>0</v>
      </c>
      <c r="G74" s="30">
        <f>COUNTIFS('AT. MEDICAS 2024'!$A$9:$A$874,"05/03/2025",'AT. MEDICAS 2024'!$I$9:$I$874,B74)</f>
        <v>0</v>
      </c>
      <c r="H74" s="30">
        <f>COUNTIFS('AT. MEDICAS 2024'!$A$9:$A$874,"06/03/2025",'AT. MEDICAS 2024'!$I$9:$I$874,B74)</f>
        <v>0</v>
      </c>
      <c r="I74" s="30">
        <f>COUNTIFS('AT. MEDICAS 2024'!$A$9:$A$874,"07/03/2025",'AT. MEDICAS 2024'!$I$9:$I$874,B74)</f>
        <v>0</v>
      </c>
      <c r="J74" s="30">
        <f>COUNTIFS('AT. MEDICAS 2024'!$A$9:$A$874,"08/03/2025",'AT. MEDICAS 2024'!$I$9:$I$874,B74)</f>
        <v>0</v>
      </c>
      <c r="K74" s="30">
        <f>COUNTIFS('AT. MEDICAS 2024'!$A$9:$A$874,"09/03/2025",'AT. MEDICAS 2024'!$I$9:$I$874,B74)</f>
        <v>0</v>
      </c>
      <c r="L74" s="30">
        <f>COUNTIFS('AT. MEDICAS 2024'!$A$9:$A$874,"10/03/2025",'AT. MEDICAS 2024'!$I$9:$I$874,B74)</f>
        <v>0</v>
      </c>
      <c r="M74" s="30">
        <f>COUNTIFS('AT. MEDICAS 2024'!$A$9:$A$874,"11/03/2025",'AT. MEDICAS 2024'!$I$9:$I$874,B74)</f>
        <v>0</v>
      </c>
      <c r="N74" s="30">
        <f>COUNTIFS('AT. MEDICAS 2024'!$A$9:$A$874,"12/03/2025",'AT. MEDICAS 2024'!$I$9:$I$874,B74)</f>
        <v>0</v>
      </c>
      <c r="O74" s="30">
        <f>COUNTIFS('AT. MEDICAS 2024'!$A$9:$A$874,"13/03/2025",'AT. MEDICAS 2024'!$I$9:$I$874,B74)</f>
        <v>0</v>
      </c>
      <c r="P74" s="30">
        <f>COUNTIFS('AT. MEDICAS 2024'!$A$9:$A$874,"14/03/2025",'AT. MEDICAS 2024'!$I$9:$I$874,B74)</f>
        <v>0</v>
      </c>
      <c r="Q74" s="30">
        <f>COUNTIFS('AT. MEDICAS 2024'!$A$9:$A$874,"15/03/2025",'AT. MEDICAS 2024'!$I$9:$I$874,B74)</f>
        <v>0</v>
      </c>
      <c r="R74" s="30">
        <f>COUNTIFS('AT. MEDICAS 2024'!$A$9:$A$874,"16/03/2025",'AT. MEDICAS 2024'!$I$9:$I$874,B74)</f>
        <v>0</v>
      </c>
      <c r="S74" s="30">
        <f>COUNTIFS('AT. MEDICAS 2024'!$A$9:$A$874,"17/03/2025",'AT. MEDICAS 2024'!$I$9:$I$874,B74)</f>
        <v>0</v>
      </c>
      <c r="T74" s="30">
        <f>COUNTIFS('AT. MEDICAS 2024'!$A$9:$A$874,"18/03/2025",'AT. MEDICAS 2024'!$I$9:$I$874,B74)</f>
        <v>0</v>
      </c>
      <c r="U74" s="30">
        <f>COUNTIFS('AT. MEDICAS 2024'!$A$9:$A$874,"19/03/2025",'AT. MEDICAS 2024'!$I$9:$I$874,B74)</f>
        <v>0</v>
      </c>
      <c r="V74" s="30">
        <f>COUNTIFS('AT. MEDICAS 2024'!$A$9:$A$874,"20/03/2025",'AT. MEDICAS 2024'!$I$9:$I$874,B74)</f>
        <v>0</v>
      </c>
      <c r="W74" s="30">
        <f>COUNTIFS('AT. MEDICAS 2024'!$A$9:$A$874,"21/03/2025",'AT. MEDICAS 2024'!$I$9:$I$874,B74)</f>
        <v>0</v>
      </c>
      <c r="X74" s="30">
        <f>COUNTIFS('AT. MEDICAS 2024'!$A$9:$A$874,"22/03/2025",'AT. MEDICAS 2024'!$I$9:$I$874,B74)</f>
        <v>0</v>
      </c>
      <c r="Y74" s="30">
        <f>COUNTIFS('AT. MEDICAS 2024'!$A$9:$A$874,"23/03/2025",'AT. MEDICAS 2024'!$I$9:$I$874,B74)</f>
        <v>0</v>
      </c>
      <c r="Z74" s="30">
        <f>COUNTIFS('AT. MEDICAS 2024'!$A$9:$A$874,"24/03/2025",'AT. MEDICAS 2024'!$I$9:$I$874,B74)</f>
        <v>0</v>
      </c>
      <c r="AA74" s="30">
        <f>COUNTIFS('AT. MEDICAS 2024'!$A$9:$A$874,"25/03/2025",'AT. MEDICAS 2024'!$I$9:$I$874,B74)</f>
        <v>0</v>
      </c>
      <c r="AB74" s="30">
        <f>COUNTIFS('AT. MEDICAS 2024'!$A$9:$A$874,"26/03/2025",'AT. MEDICAS 2024'!$I$9:$I$874,B74)</f>
        <v>0</v>
      </c>
      <c r="AC74" s="30">
        <f>COUNTIFS('AT. MEDICAS 2024'!$A$9:$A$874,"27/03/2025",'AT. MEDICAS 2024'!$I$9:$I$874,B74)</f>
        <v>0</v>
      </c>
      <c r="AD74" s="30">
        <f>COUNTIFS('AT. MEDICAS 2024'!$A$9:$A$874,"28/03/2025",'AT. MEDICAS 2024'!$I$9:$I$874,B74)</f>
        <v>0</v>
      </c>
      <c r="AE74" s="30">
        <f>COUNTIFS('AT. MEDICAS 2024'!$A$9:$A$874,"29/03/2025",'AT. MEDICAS 2024'!$I$9:$I$874,B74)</f>
        <v>0</v>
      </c>
      <c r="AF74" s="30">
        <f>COUNTIFS('AT. MEDICAS 2024'!$A$9:$A$874,"30/03/2025",'AT. MEDICAS 2024'!$I$9:$I$874,B74)</f>
        <v>0</v>
      </c>
      <c r="AG74" s="30">
        <f>COUNTIFS('AT. MEDICAS 2024'!$A$9:$A$874,"31/03/2025",'AT. MEDICAS 2024'!$I$9:$I$874,B74)</f>
        <v>0</v>
      </c>
      <c r="AH74" s="55">
        <f t="shared" si="15"/>
        <v>0</v>
      </c>
    </row>
    <row r="75" spans="1:34" ht="13.8" thickBot="1" x14ac:dyDescent="0.3">
      <c r="A75" s="41">
        <v>15</v>
      </c>
      <c r="B75" s="54" t="s">
        <v>189</v>
      </c>
      <c r="C75" s="30">
        <f>COUNTIFS('AT. MEDICAS 2024'!$A$9:$A$874,"01/03/2025",'AT. MEDICAS 2024'!$I$9:$I$874,B75)</f>
        <v>0</v>
      </c>
      <c r="D75" s="30">
        <f>COUNTIFS('AT. MEDICAS 2024'!$A$9:$A$874,"02/03/2025",'AT. MEDICAS 2024'!$I$9:$I$874,B75)</f>
        <v>0</v>
      </c>
      <c r="E75" s="30">
        <f>COUNTIFS('AT. MEDICAS 2024'!$A$9:$A$874,"03/03/2025",'AT. MEDICAS 2024'!$I$9:$I$874,B75)</f>
        <v>0</v>
      </c>
      <c r="F75" s="30">
        <f>COUNTIFS('AT. MEDICAS 2024'!$A$9:$A$874,"04/03/2025",'AT. MEDICAS 2024'!$I$9:$I$874,B75)</f>
        <v>0</v>
      </c>
      <c r="G75" s="30">
        <f>COUNTIFS('AT. MEDICAS 2024'!$A$9:$A$874,"05/03/2025",'AT. MEDICAS 2024'!$I$9:$I$874,B75)</f>
        <v>0</v>
      </c>
      <c r="H75" s="30">
        <f>COUNTIFS('AT. MEDICAS 2024'!$A$9:$A$874,"06/03/2025",'AT. MEDICAS 2024'!$I$9:$I$874,B75)</f>
        <v>0</v>
      </c>
      <c r="I75" s="30">
        <f>COUNTIFS('AT. MEDICAS 2024'!$A$9:$A$874,"07/03/2025",'AT. MEDICAS 2024'!$I$9:$I$874,B75)</f>
        <v>0</v>
      </c>
      <c r="J75" s="30">
        <f>COUNTIFS('AT. MEDICAS 2024'!$A$9:$A$874,"08/03/2025",'AT. MEDICAS 2024'!$I$9:$I$874,B75)</f>
        <v>0</v>
      </c>
      <c r="K75" s="30">
        <f>COUNTIFS('AT. MEDICAS 2024'!$A$9:$A$874,"09/03/2025",'AT. MEDICAS 2024'!$I$9:$I$874,B75)</f>
        <v>0</v>
      </c>
      <c r="L75" s="30">
        <f>COUNTIFS('AT. MEDICAS 2024'!$A$9:$A$874,"10/03/2025",'AT. MEDICAS 2024'!$I$9:$I$874,B75)</f>
        <v>0</v>
      </c>
      <c r="M75" s="30">
        <f>COUNTIFS('AT. MEDICAS 2024'!$A$9:$A$874,"11/03/2025",'AT. MEDICAS 2024'!$I$9:$I$874,B75)</f>
        <v>0</v>
      </c>
      <c r="N75" s="30">
        <f>COUNTIFS('AT. MEDICAS 2024'!$A$9:$A$874,"12/03/2025",'AT. MEDICAS 2024'!$I$9:$I$874,B75)</f>
        <v>0</v>
      </c>
      <c r="O75" s="30">
        <f>COUNTIFS('AT. MEDICAS 2024'!$A$9:$A$874,"13/03/2025",'AT. MEDICAS 2024'!$I$9:$I$874,B75)</f>
        <v>0</v>
      </c>
      <c r="P75" s="30">
        <f>COUNTIFS('AT. MEDICAS 2024'!$A$9:$A$874,"14/03/2025",'AT. MEDICAS 2024'!$I$9:$I$874,B75)</f>
        <v>0</v>
      </c>
      <c r="Q75" s="30">
        <f>COUNTIFS('AT. MEDICAS 2024'!$A$9:$A$874,"15/03/2025",'AT. MEDICAS 2024'!$I$9:$I$874,B75)</f>
        <v>0</v>
      </c>
      <c r="R75" s="30">
        <f>COUNTIFS('AT. MEDICAS 2024'!$A$9:$A$874,"16/03/2025",'AT. MEDICAS 2024'!$I$9:$I$874,B75)</f>
        <v>0</v>
      </c>
      <c r="S75" s="30">
        <f>COUNTIFS('AT. MEDICAS 2024'!$A$9:$A$874,"17/03/2025",'AT. MEDICAS 2024'!$I$9:$I$874,B75)</f>
        <v>0</v>
      </c>
      <c r="T75" s="30">
        <f>COUNTIFS('AT. MEDICAS 2024'!$A$9:$A$874,"18/03/2025",'AT. MEDICAS 2024'!$I$9:$I$874,B75)</f>
        <v>0</v>
      </c>
      <c r="U75" s="30">
        <f>COUNTIFS('AT. MEDICAS 2024'!$A$9:$A$874,"19/03/2025",'AT. MEDICAS 2024'!$I$9:$I$874,B75)</f>
        <v>0</v>
      </c>
      <c r="V75" s="30">
        <f>COUNTIFS('AT. MEDICAS 2024'!$A$9:$A$874,"20/03/2025",'AT. MEDICAS 2024'!$I$9:$I$874,B75)</f>
        <v>0</v>
      </c>
      <c r="W75" s="30">
        <f>COUNTIFS('AT. MEDICAS 2024'!$A$9:$A$874,"21/03/2025",'AT. MEDICAS 2024'!$I$9:$I$874,B75)</f>
        <v>0</v>
      </c>
      <c r="X75" s="30">
        <f>COUNTIFS('AT. MEDICAS 2024'!$A$9:$A$874,"22/03/2025",'AT. MEDICAS 2024'!$I$9:$I$874,B75)</f>
        <v>0</v>
      </c>
      <c r="Y75" s="30">
        <f>COUNTIFS('AT. MEDICAS 2024'!$A$9:$A$874,"23/03/2025",'AT. MEDICAS 2024'!$I$9:$I$874,B75)</f>
        <v>0</v>
      </c>
      <c r="Z75" s="30">
        <f>COUNTIFS('AT. MEDICAS 2024'!$A$9:$A$874,"24/03/2025",'AT. MEDICAS 2024'!$I$9:$I$874,B75)</f>
        <v>0</v>
      </c>
      <c r="AA75" s="30">
        <f>COUNTIFS('AT. MEDICAS 2024'!$A$9:$A$874,"25/03/2025",'AT. MEDICAS 2024'!$I$9:$I$874,B75)</f>
        <v>0</v>
      </c>
      <c r="AB75" s="30">
        <f>COUNTIFS('AT. MEDICAS 2024'!$A$9:$A$874,"26/03/2025",'AT. MEDICAS 2024'!$I$9:$I$874,B75)</f>
        <v>0</v>
      </c>
      <c r="AC75" s="30">
        <f>COUNTIFS('AT. MEDICAS 2024'!$A$9:$A$874,"27/03/2025",'AT. MEDICAS 2024'!$I$9:$I$874,B75)</f>
        <v>0</v>
      </c>
      <c r="AD75" s="30">
        <f>COUNTIFS('AT. MEDICAS 2024'!$A$9:$A$874,"28/03/2025",'AT. MEDICAS 2024'!$I$9:$I$874,B75)</f>
        <v>0</v>
      </c>
      <c r="AE75" s="30">
        <f>COUNTIFS('AT. MEDICAS 2024'!$A$9:$A$874,"29/03/2025",'AT. MEDICAS 2024'!$I$9:$I$874,B75)</f>
        <v>0</v>
      </c>
      <c r="AF75" s="30">
        <f>COUNTIFS('AT. MEDICAS 2024'!$A$9:$A$874,"30/03/2025",'AT. MEDICAS 2024'!$I$9:$I$874,B75)</f>
        <v>0</v>
      </c>
      <c r="AG75" s="30">
        <f>COUNTIFS('AT. MEDICAS 2024'!$A$9:$A$874,"31/03/2025",'AT. MEDICAS 2024'!$I$9:$I$874,B75)</f>
        <v>0</v>
      </c>
      <c r="AH75" s="55">
        <f t="shared" si="15"/>
        <v>0</v>
      </c>
    </row>
    <row r="76" spans="1:34" ht="13.8" thickBot="1" x14ac:dyDescent="0.3">
      <c r="A76" s="41">
        <v>16</v>
      </c>
      <c r="B76" s="54" t="s">
        <v>14</v>
      </c>
      <c r="C76" s="30">
        <f>COUNTIFS('AT. MEDICAS 2024'!$A$9:$A$874,"01/03/2025",'AT. MEDICAS 2024'!$I$9:$I$874,B76)</f>
        <v>0</v>
      </c>
      <c r="D76" s="30">
        <f>COUNTIFS('AT. MEDICAS 2024'!$A$9:$A$874,"02/03/2025",'AT. MEDICAS 2024'!$I$9:$I$874,B76)</f>
        <v>0</v>
      </c>
      <c r="E76" s="30">
        <f>COUNTIFS('AT. MEDICAS 2024'!$A$9:$A$874,"03/03/2025",'AT. MEDICAS 2024'!$I$9:$I$874,B76)</f>
        <v>0</v>
      </c>
      <c r="F76" s="30">
        <f>COUNTIFS('AT. MEDICAS 2024'!$A$9:$A$874,"04/03/2025",'AT. MEDICAS 2024'!$I$9:$I$874,B76)</f>
        <v>0</v>
      </c>
      <c r="G76" s="30">
        <f>COUNTIFS('AT. MEDICAS 2024'!$A$9:$A$874,"05/03/2025",'AT. MEDICAS 2024'!$I$9:$I$874,B76)</f>
        <v>0</v>
      </c>
      <c r="H76" s="30">
        <f>COUNTIFS('AT. MEDICAS 2024'!$A$9:$A$874,"06/03/2025",'AT. MEDICAS 2024'!$I$9:$I$874,B76)</f>
        <v>0</v>
      </c>
      <c r="I76" s="30">
        <f>COUNTIFS('AT. MEDICAS 2024'!$A$9:$A$874,"07/03/2025",'AT. MEDICAS 2024'!$I$9:$I$874,B76)</f>
        <v>0</v>
      </c>
      <c r="J76" s="30">
        <f>COUNTIFS('AT. MEDICAS 2024'!$A$9:$A$874,"08/03/2025",'AT. MEDICAS 2024'!$I$9:$I$874,B76)</f>
        <v>0</v>
      </c>
      <c r="K76" s="30">
        <f>COUNTIFS('AT. MEDICAS 2024'!$A$9:$A$874,"09/03/2025",'AT. MEDICAS 2024'!$I$9:$I$874,B76)</f>
        <v>0</v>
      </c>
      <c r="L76" s="30">
        <f>COUNTIFS('AT. MEDICAS 2024'!$A$9:$A$874,"10/03/2025",'AT. MEDICAS 2024'!$I$9:$I$874,B76)</f>
        <v>0</v>
      </c>
      <c r="M76" s="30">
        <f>COUNTIFS('AT. MEDICAS 2024'!$A$9:$A$874,"11/03/2025",'AT. MEDICAS 2024'!$I$9:$I$874,B76)</f>
        <v>0</v>
      </c>
      <c r="N76" s="30">
        <f>COUNTIFS('AT. MEDICAS 2024'!$A$9:$A$874,"12/03/2025",'AT. MEDICAS 2024'!$I$9:$I$874,B76)</f>
        <v>0</v>
      </c>
      <c r="O76" s="30">
        <f>COUNTIFS('AT. MEDICAS 2024'!$A$9:$A$874,"13/03/2025",'AT. MEDICAS 2024'!$I$9:$I$874,B76)</f>
        <v>0</v>
      </c>
      <c r="P76" s="30">
        <f>COUNTIFS('AT. MEDICAS 2024'!$A$9:$A$874,"14/03/2025",'AT. MEDICAS 2024'!$I$9:$I$874,B76)</f>
        <v>0</v>
      </c>
      <c r="Q76" s="30">
        <f>COUNTIFS('AT. MEDICAS 2024'!$A$9:$A$874,"15/03/2025",'AT. MEDICAS 2024'!$I$9:$I$874,B76)</f>
        <v>0</v>
      </c>
      <c r="R76" s="30">
        <f>COUNTIFS('AT. MEDICAS 2024'!$A$9:$A$874,"16/03/2025",'AT. MEDICAS 2024'!$I$9:$I$874,B76)</f>
        <v>0</v>
      </c>
      <c r="S76" s="30">
        <f>COUNTIFS('AT. MEDICAS 2024'!$A$9:$A$874,"17/03/2025",'AT. MEDICAS 2024'!$I$9:$I$874,B76)</f>
        <v>0</v>
      </c>
      <c r="T76" s="30">
        <f>COUNTIFS('AT. MEDICAS 2024'!$A$9:$A$874,"18/03/2025",'AT. MEDICAS 2024'!$I$9:$I$874,B76)</f>
        <v>0</v>
      </c>
      <c r="U76" s="30">
        <f>COUNTIFS('AT. MEDICAS 2024'!$A$9:$A$874,"19/03/2025",'AT. MEDICAS 2024'!$I$9:$I$874,B76)</f>
        <v>0</v>
      </c>
      <c r="V76" s="30">
        <f>COUNTIFS('AT. MEDICAS 2024'!$A$9:$A$874,"20/03/2025",'AT. MEDICAS 2024'!$I$9:$I$874,B76)</f>
        <v>0</v>
      </c>
      <c r="W76" s="30">
        <f>COUNTIFS('AT. MEDICAS 2024'!$A$9:$A$874,"21/03/2025",'AT. MEDICAS 2024'!$I$9:$I$874,B76)</f>
        <v>0</v>
      </c>
      <c r="X76" s="30">
        <f>COUNTIFS('AT. MEDICAS 2024'!$A$9:$A$874,"22/03/2025",'AT. MEDICAS 2024'!$I$9:$I$874,B76)</f>
        <v>0</v>
      </c>
      <c r="Y76" s="30">
        <f>COUNTIFS('AT. MEDICAS 2024'!$A$9:$A$874,"23/03/2025",'AT. MEDICAS 2024'!$I$9:$I$874,B76)</f>
        <v>0</v>
      </c>
      <c r="Z76" s="30">
        <f>COUNTIFS('AT. MEDICAS 2024'!$A$9:$A$874,"24/03/2025",'AT. MEDICAS 2024'!$I$9:$I$874,B76)</f>
        <v>0</v>
      </c>
      <c r="AA76" s="30">
        <f>COUNTIFS('AT. MEDICAS 2024'!$A$9:$A$874,"25/03/2025",'AT. MEDICAS 2024'!$I$9:$I$874,B76)</f>
        <v>0</v>
      </c>
      <c r="AB76" s="30">
        <f>COUNTIFS('AT. MEDICAS 2024'!$A$9:$A$874,"26/03/2025",'AT. MEDICAS 2024'!$I$9:$I$874,B76)</f>
        <v>0</v>
      </c>
      <c r="AC76" s="30">
        <f>COUNTIFS('AT. MEDICAS 2024'!$A$9:$A$874,"27/03/2025",'AT. MEDICAS 2024'!$I$9:$I$874,B76)</f>
        <v>0</v>
      </c>
      <c r="AD76" s="30">
        <f>COUNTIFS('AT. MEDICAS 2024'!$A$9:$A$874,"28/03/2025",'AT. MEDICAS 2024'!$I$9:$I$874,B76)</f>
        <v>0</v>
      </c>
      <c r="AE76" s="30">
        <f>COUNTIFS('AT. MEDICAS 2024'!$A$9:$A$874,"29/03/2025",'AT. MEDICAS 2024'!$I$9:$I$874,B76)</f>
        <v>0</v>
      </c>
      <c r="AF76" s="30">
        <f>COUNTIFS('AT. MEDICAS 2024'!$A$9:$A$874,"30/03/2025",'AT. MEDICAS 2024'!$I$9:$I$874,B76)</f>
        <v>0</v>
      </c>
      <c r="AG76" s="30">
        <f>COUNTIFS('AT. MEDICAS 2024'!$A$9:$A$874,"31/03/2025",'AT. MEDICAS 2024'!$I$9:$I$874,B76)</f>
        <v>0</v>
      </c>
      <c r="AH76" s="55">
        <f t="shared" si="15"/>
        <v>0</v>
      </c>
    </row>
    <row r="77" spans="1:34" ht="13.8" thickBot="1" x14ac:dyDescent="0.3">
      <c r="A77" s="41">
        <v>17</v>
      </c>
      <c r="B77" s="54" t="s">
        <v>72</v>
      </c>
      <c r="C77" s="30">
        <f>COUNTIFS('AT. MEDICAS 2024'!$A$9:$A$874,"01/03/2025",'AT. MEDICAS 2024'!$I$9:$I$874,B77)</f>
        <v>0</v>
      </c>
      <c r="D77" s="30">
        <f>COUNTIFS('AT. MEDICAS 2024'!$A$9:$A$874,"02/03/2025",'AT. MEDICAS 2024'!$I$9:$I$874,B77)</f>
        <v>0</v>
      </c>
      <c r="E77" s="30">
        <f>COUNTIFS('AT. MEDICAS 2024'!$A$9:$A$874,"03/03/2025",'AT. MEDICAS 2024'!$I$9:$I$874,B77)</f>
        <v>0</v>
      </c>
      <c r="F77" s="30">
        <f>COUNTIFS('AT. MEDICAS 2024'!$A$9:$A$874,"04/03/2025",'AT. MEDICAS 2024'!$I$9:$I$874,B77)</f>
        <v>0</v>
      </c>
      <c r="G77" s="30">
        <f>COUNTIFS('AT. MEDICAS 2024'!$A$9:$A$874,"05/03/2025",'AT. MEDICAS 2024'!$I$9:$I$874,B77)</f>
        <v>0</v>
      </c>
      <c r="H77" s="30">
        <f>COUNTIFS('AT. MEDICAS 2024'!$A$9:$A$874,"06/03/2025",'AT. MEDICAS 2024'!$I$9:$I$874,B77)</f>
        <v>0</v>
      </c>
      <c r="I77" s="30">
        <f>COUNTIFS('AT. MEDICAS 2024'!$A$9:$A$874,"07/03/2025",'AT. MEDICAS 2024'!$I$9:$I$874,B77)</f>
        <v>0</v>
      </c>
      <c r="J77" s="30">
        <f>COUNTIFS('AT. MEDICAS 2024'!$A$9:$A$874,"08/03/2025",'AT. MEDICAS 2024'!$I$9:$I$874,B77)</f>
        <v>0</v>
      </c>
      <c r="K77" s="30">
        <f>COUNTIFS('AT. MEDICAS 2024'!$A$9:$A$874,"09/03/2025",'AT. MEDICAS 2024'!$I$9:$I$874,B77)</f>
        <v>0</v>
      </c>
      <c r="L77" s="30">
        <f>COUNTIFS('AT. MEDICAS 2024'!$A$9:$A$874,"10/03/2025",'AT. MEDICAS 2024'!$I$9:$I$874,B77)</f>
        <v>0</v>
      </c>
      <c r="M77" s="30">
        <f>COUNTIFS('AT. MEDICAS 2024'!$A$9:$A$874,"11/03/2025",'AT. MEDICAS 2024'!$I$9:$I$874,B77)</f>
        <v>0</v>
      </c>
      <c r="N77" s="30">
        <f>COUNTIFS('AT. MEDICAS 2024'!$A$9:$A$874,"12/03/2025",'AT. MEDICAS 2024'!$I$9:$I$874,B77)</f>
        <v>0</v>
      </c>
      <c r="O77" s="30">
        <f>COUNTIFS('AT. MEDICAS 2024'!$A$9:$A$874,"13/03/2025",'AT. MEDICAS 2024'!$I$9:$I$874,B77)</f>
        <v>0</v>
      </c>
      <c r="P77" s="30">
        <f>COUNTIFS('AT. MEDICAS 2024'!$A$9:$A$874,"14/03/2025",'AT. MEDICAS 2024'!$I$9:$I$874,B77)</f>
        <v>0</v>
      </c>
      <c r="Q77" s="30">
        <f>COUNTIFS('AT. MEDICAS 2024'!$A$9:$A$874,"15/03/2025",'AT. MEDICAS 2024'!$I$9:$I$874,B77)</f>
        <v>0</v>
      </c>
      <c r="R77" s="30">
        <f>COUNTIFS('AT. MEDICAS 2024'!$A$9:$A$874,"16/03/2025",'AT. MEDICAS 2024'!$I$9:$I$874,B77)</f>
        <v>0</v>
      </c>
      <c r="S77" s="30">
        <f>COUNTIFS('AT. MEDICAS 2024'!$A$9:$A$874,"17/03/2025",'AT. MEDICAS 2024'!$I$9:$I$874,B77)</f>
        <v>0</v>
      </c>
      <c r="T77" s="30">
        <f>COUNTIFS('AT. MEDICAS 2024'!$A$9:$A$874,"18/03/2025",'AT. MEDICAS 2024'!$I$9:$I$874,B77)</f>
        <v>0</v>
      </c>
      <c r="U77" s="30">
        <f>COUNTIFS('AT. MEDICAS 2024'!$A$9:$A$874,"19/03/2025",'AT. MEDICAS 2024'!$I$9:$I$874,B77)</f>
        <v>0</v>
      </c>
      <c r="V77" s="30">
        <f>COUNTIFS('AT. MEDICAS 2024'!$A$9:$A$874,"20/03/2025",'AT. MEDICAS 2024'!$I$9:$I$874,B77)</f>
        <v>0</v>
      </c>
      <c r="W77" s="30">
        <f>COUNTIFS('AT. MEDICAS 2024'!$A$9:$A$874,"21/03/2025",'AT. MEDICAS 2024'!$I$9:$I$874,B77)</f>
        <v>0</v>
      </c>
      <c r="X77" s="30">
        <f>COUNTIFS('AT. MEDICAS 2024'!$A$9:$A$874,"22/03/2025",'AT. MEDICAS 2024'!$I$9:$I$874,B77)</f>
        <v>0</v>
      </c>
      <c r="Y77" s="30">
        <f>COUNTIFS('AT. MEDICAS 2024'!$A$9:$A$874,"23/03/2025",'AT. MEDICAS 2024'!$I$9:$I$874,B77)</f>
        <v>0</v>
      </c>
      <c r="Z77" s="30">
        <f>COUNTIFS('AT. MEDICAS 2024'!$A$9:$A$874,"24/03/2025",'AT. MEDICAS 2024'!$I$9:$I$874,B77)</f>
        <v>0</v>
      </c>
      <c r="AA77" s="30">
        <f>COUNTIFS('AT. MEDICAS 2024'!$A$9:$A$874,"25/03/2025",'AT. MEDICAS 2024'!$I$9:$I$874,B77)</f>
        <v>0</v>
      </c>
      <c r="AB77" s="30">
        <f>COUNTIFS('AT. MEDICAS 2024'!$A$9:$A$874,"26/03/2025",'AT. MEDICAS 2024'!$I$9:$I$874,B77)</f>
        <v>0</v>
      </c>
      <c r="AC77" s="30">
        <f>COUNTIFS('AT. MEDICAS 2024'!$A$9:$A$874,"27/03/2025",'AT. MEDICAS 2024'!$I$9:$I$874,B77)</f>
        <v>0</v>
      </c>
      <c r="AD77" s="30">
        <f>COUNTIFS('AT. MEDICAS 2024'!$A$9:$A$874,"28/03/2025",'AT. MEDICAS 2024'!$I$9:$I$874,B77)</f>
        <v>0</v>
      </c>
      <c r="AE77" s="30">
        <f>COUNTIFS('AT. MEDICAS 2024'!$A$9:$A$874,"29/03/2025",'AT. MEDICAS 2024'!$I$9:$I$874,B77)</f>
        <v>0</v>
      </c>
      <c r="AF77" s="30">
        <f>COUNTIFS('AT. MEDICAS 2024'!$A$9:$A$874,"30/03/2025",'AT. MEDICAS 2024'!$I$9:$I$874,B77)</f>
        <v>0</v>
      </c>
      <c r="AG77" s="30">
        <f>COUNTIFS('AT. MEDICAS 2024'!$A$9:$A$874,"31/03/2025",'AT. MEDICAS 2024'!$I$9:$I$874,B77)</f>
        <v>0</v>
      </c>
      <c r="AH77" s="55">
        <f t="shared" si="15"/>
        <v>0</v>
      </c>
    </row>
    <row r="78" spans="1:34" ht="13.8" thickBot="1" x14ac:dyDescent="0.3">
      <c r="A78" s="41">
        <v>18</v>
      </c>
      <c r="B78" s="54" t="s">
        <v>190</v>
      </c>
      <c r="C78" s="30">
        <f>COUNTIFS('AT. MEDICAS 2024'!$A$9:$A$874,"01/03/2025",'AT. MEDICAS 2024'!$I$9:$I$874,B78)</f>
        <v>0</v>
      </c>
      <c r="D78" s="30">
        <f>COUNTIFS('AT. MEDICAS 2024'!$A$9:$A$874,"02/03/2025",'AT. MEDICAS 2024'!$I$9:$I$874,B78)</f>
        <v>0</v>
      </c>
      <c r="E78" s="30">
        <f>COUNTIFS('AT. MEDICAS 2024'!$A$9:$A$874,"03/03/2025",'AT. MEDICAS 2024'!$I$9:$I$874,B78)</f>
        <v>0</v>
      </c>
      <c r="F78" s="30">
        <f>COUNTIFS('AT. MEDICAS 2024'!$A$9:$A$874,"04/03/2025",'AT. MEDICAS 2024'!$I$9:$I$874,B78)</f>
        <v>0</v>
      </c>
      <c r="G78" s="30">
        <f>COUNTIFS('AT. MEDICAS 2024'!$A$9:$A$874,"05/03/2025",'AT. MEDICAS 2024'!$I$9:$I$874,B78)</f>
        <v>0</v>
      </c>
      <c r="H78" s="30">
        <f>COUNTIFS('AT. MEDICAS 2024'!$A$9:$A$874,"06/03/2025",'AT. MEDICAS 2024'!$I$9:$I$874,B78)</f>
        <v>0</v>
      </c>
      <c r="I78" s="30">
        <f>COUNTIFS('AT. MEDICAS 2024'!$A$9:$A$874,"07/03/2025",'AT. MEDICAS 2024'!$I$9:$I$874,B78)</f>
        <v>0</v>
      </c>
      <c r="J78" s="30">
        <f>COUNTIFS('AT. MEDICAS 2024'!$A$9:$A$874,"08/03/2025",'AT. MEDICAS 2024'!$I$9:$I$874,B78)</f>
        <v>0</v>
      </c>
      <c r="K78" s="30">
        <f>COUNTIFS('AT. MEDICAS 2024'!$A$9:$A$874,"09/03/2025",'AT. MEDICAS 2024'!$I$9:$I$874,B78)</f>
        <v>0</v>
      </c>
      <c r="L78" s="30">
        <f>COUNTIFS('AT. MEDICAS 2024'!$A$9:$A$874,"10/03/2025",'AT. MEDICAS 2024'!$I$9:$I$874,B78)</f>
        <v>0</v>
      </c>
      <c r="M78" s="30">
        <f>COUNTIFS('AT. MEDICAS 2024'!$A$9:$A$874,"11/03/2025",'AT. MEDICAS 2024'!$I$9:$I$874,B78)</f>
        <v>0</v>
      </c>
      <c r="N78" s="30">
        <f>COUNTIFS('AT. MEDICAS 2024'!$A$9:$A$874,"12/03/2025",'AT. MEDICAS 2024'!$I$9:$I$874,B78)</f>
        <v>0</v>
      </c>
      <c r="O78" s="30">
        <f>COUNTIFS('AT. MEDICAS 2024'!$A$9:$A$874,"13/03/2025",'AT. MEDICAS 2024'!$I$9:$I$874,B78)</f>
        <v>0</v>
      </c>
      <c r="P78" s="30">
        <f>COUNTIFS('AT. MEDICAS 2024'!$A$9:$A$874,"14/03/2025",'AT. MEDICAS 2024'!$I$9:$I$874,B78)</f>
        <v>0</v>
      </c>
      <c r="Q78" s="30">
        <f>COUNTIFS('AT. MEDICAS 2024'!$A$9:$A$874,"15/03/2025",'AT. MEDICAS 2024'!$I$9:$I$874,B78)</f>
        <v>0</v>
      </c>
      <c r="R78" s="30">
        <f>COUNTIFS('AT. MEDICAS 2024'!$A$9:$A$874,"16/03/2025",'AT. MEDICAS 2024'!$I$9:$I$874,B78)</f>
        <v>0</v>
      </c>
      <c r="S78" s="30">
        <f>COUNTIFS('AT. MEDICAS 2024'!$A$9:$A$874,"17/03/2025",'AT. MEDICAS 2024'!$I$9:$I$874,B78)</f>
        <v>0</v>
      </c>
      <c r="T78" s="30">
        <f>COUNTIFS('AT. MEDICAS 2024'!$A$9:$A$874,"18/03/2025",'AT. MEDICAS 2024'!$I$9:$I$874,B78)</f>
        <v>0</v>
      </c>
      <c r="U78" s="30">
        <f>COUNTIFS('AT. MEDICAS 2024'!$A$9:$A$874,"19/03/2025",'AT. MEDICAS 2024'!$I$9:$I$874,B78)</f>
        <v>0</v>
      </c>
      <c r="V78" s="30">
        <f>COUNTIFS('AT. MEDICAS 2024'!$A$9:$A$874,"20/03/2025",'AT. MEDICAS 2024'!$I$9:$I$874,B78)</f>
        <v>0</v>
      </c>
      <c r="W78" s="30">
        <f>COUNTIFS('AT. MEDICAS 2024'!$A$9:$A$874,"21/03/2025",'AT. MEDICAS 2024'!$I$9:$I$874,B78)</f>
        <v>0</v>
      </c>
      <c r="X78" s="30">
        <f>COUNTIFS('AT. MEDICAS 2024'!$A$9:$A$874,"22/03/2025",'AT. MEDICAS 2024'!$I$9:$I$874,B78)</f>
        <v>0</v>
      </c>
      <c r="Y78" s="30">
        <f>COUNTIFS('AT. MEDICAS 2024'!$A$9:$A$874,"23/03/2025",'AT. MEDICAS 2024'!$I$9:$I$874,B78)</f>
        <v>0</v>
      </c>
      <c r="Z78" s="30">
        <f>COUNTIFS('AT. MEDICAS 2024'!$A$9:$A$874,"24/03/2025",'AT. MEDICAS 2024'!$I$9:$I$874,B78)</f>
        <v>0</v>
      </c>
      <c r="AA78" s="30">
        <f>COUNTIFS('AT. MEDICAS 2024'!$A$9:$A$874,"25/03/2025",'AT. MEDICAS 2024'!$I$9:$I$874,B78)</f>
        <v>0</v>
      </c>
      <c r="AB78" s="30">
        <f>COUNTIFS('AT. MEDICAS 2024'!$A$9:$A$874,"26/03/2025",'AT. MEDICAS 2024'!$I$9:$I$874,B78)</f>
        <v>0</v>
      </c>
      <c r="AC78" s="30">
        <f>COUNTIFS('AT. MEDICAS 2024'!$A$9:$A$874,"27/03/2025",'AT. MEDICAS 2024'!$I$9:$I$874,B78)</f>
        <v>0</v>
      </c>
      <c r="AD78" s="30">
        <f>COUNTIFS('AT. MEDICAS 2024'!$A$9:$A$874,"28/03/2025",'AT. MEDICAS 2024'!$I$9:$I$874,B78)</f>
        <v>0</v>
      </c>
      <c r="AE78" s="30">
        <f>COUNTIFS('AT. MEDICAS 2024'!$A$9:$A$874,"29/03/2025",'AT. MEDICAS 2024'!$I$9:$I$874,B78)</f>
        <v>0</v>
      </c>
      <c r="AF78" s="30">
        <f>COUNTIFS('AT. MEDICAS 2024'!$A$9:$A$874,"30/03/2025",'AT. MEDICAS 2024'!$I$9:$I$874,B78)</f>
        <v>0</v>
      </c>
      <c r="AG78" s="30">
        <f>COUNTIFS('AT. MEDICAS 2024'!$A$9:$A$874,"31/03/2025",'AT. MEDICAS 2024'!$I$9:$I$874,B78)</f>
        <v>0</v>
      </c>
      <c r="AH78" s="55">
        <f t="shared" si="15"/>
        <v>0</v>
      </c>
    </row>
    <row r="79" spans="1:34" ht="13.8" thickBot="1" x14ac:dyDescent="0.3">
      <c r="A79" s="41">
        <v>19</v>
      </c>
      <c r="B79" s="54" t="s">
        <v>118</v>
      </c>
      <c r="C79" s="30">
        <f>COUNTIFS('AT. MEDICAS 2024'!$A$9:$A$874,"01/03/2025",'AT. MEDICAS 2024'!$I$9:$I$874,B79)</f>
        <v>0</v>
      </c>
      <c r="D79" s="30">
        <f>COUNTIFS('AT. MEDICAS 2024'!$A$9:$A$874,"02/03/2025",'AT. MEDICAS 2024'!$I$9:$I$874,B79)</f>
        <v>0</v>
      </c>
      <c r="E79" s="30">
        <f>COUNTIFS('AT. MEDICAS 2024'!$A$9:$A$874,"03/03/2025",'AT. MEDICAS 2024'!$I$9:$I$874,B79)</f>
        <v>0</v>
      </c>
      <c r="F79" s="30">
        <f>COUNTIFS('AT. MEDICAS 2024'!$A$9:$A$874,"04/03/2025",'AT. MEDICAS 2024'!$I$9:$I$874,B79)</f>
        <v>0</v>
      </c>
      <c r="G79" s="30">
        <f>COUNTIFS('AT. MEDICAS 2024'!$A$9:$A$874,"05/03/2025",'AT. MEDICAS 2024'!$I$9:$I$874,B79)</f>
        <v>0</v>
      </c>
      <c r="H79" s="30">
        <f>COUNTIFS('AT. MEDICAS 2024'!$A$9:$A$874,"06/03/2025",'AT. MEDICAS 2024'!$I$9:$I$874,B79)</f>
        <v>0</v>
      </c>
      <c r="I79" s="30">
        <f>COUNTIFS('AT. MEDICAS 2024'!$A$9:$A$874,"07/03/2025",'AT. MEDICAS 2024'!$I$9:$I$874,B79)</f>
        <v>0</v>
      </c>
      <c r="J79" s="30">
        <f>COUNTIFS('AT. MEDICAS 2024'!$A$9:$A$874,"08/03/2025",'AT. MEDICAS 2024'!$I$9:$I$874,B79)</f>
        <v>0</v>
      </c>
      <c r="K79" s="30">
        <f>COUNTIFS('AT. MEDICAS 2024'!$A$9:$A$874,"09/03/2025",'AT. MEDICAS 2024'!$I$9:$I$874,B79)</f>
        <v>0</v>
      </c>
      <c r="L79" s="30">
        <f>COUNTIFS('AT. MEDICAS 2024'!$A$9:$A$874,"10/03/2025",'AT. MEDICAS 2024'!$I$9:$I$874,B79)</f>
        <v>0</v>
      </c>
      <c r="M79" s="30">
        <f>COUNTIFS('AT. MEDICAS 2024'!$A$9:$A$874,"11/03/2025",'AT. MEDICAS 2024'!$I$9:$I$874,B79)</f>
        <v>0</v>
      </c>
      <c r="N79" s="30">
        <f>COUNTIFS('AT. MEDICAS 2024'!$A$9:$A$874,"12/03/2025",'AT. MEDICAS 2024'!$I$9:$I$874,B79)</f>
        <v>0</v>
      </c>
      <c r="O79" s="30">
        <f>COUNTIFS('AT. MEDICAS 2024'!$A$9:$A$874,"13/03/2025",'AT. MEDICAS 2024'!$I$9:$I$874,B79)</f>
        <v>0</v>
      </c>
      <c r="P79" s="30">
        <f>COUNTIFS('AT. MEDICAS 2024'!$A$9:$A$874,"14/03/2025",'AT. MEDICAS 2024'!$I$9:$I$874,B79)</f>
        <v>0</v>
      </c>
      <c r="Q79" s="30">
        <f>COUNTIFS('AT. MEDICAS 2024'!$A$9:$A$874,"15/03/2025",'AT. MEDICAS 2024'!$I$9:$I$874,B79)</f>
        <v>0</v>
      </c>
      <c r="R79" s="30">
        <f>COUNTIFS('AT. MEDICAS 2024'!$A$9:$A$874,"16/03/2025",'AT. MEDICAS 2024'!$I$9:$I$874,B79)</f>
        <v>0</v>
      </c>
      <c r="S79" s="30">
        <f>COUNTIFS('AT. MEDICAS 2024'!$A$9:$A$874,"17/03/2025",'AT. MEDICAS 2024'!$I$9:$I$874,B79)</f>
        <v>0</v>
      </c>
      <c r="T79" s="30">
        <f>COUNTIFS('AT. MEDICAS 2024'!$A$9:$A$874,"18/03/2025",'AT. MEDICAS 2024'!$I$9:$I$874,B79)</f>
        <v>0</v>
      </c>
      <c r="U79" s="30">
        <f>COUNTIFS('AT. MEDICAS 2024'!$A$9:$A$874,"19/03/2025",'AT. MEDICAS 2024'!$I$9:$I$874,B79)</f>
        <v>0</v>
      </c>
      <c r="V79" s="30">
        <f>COUNTIFS('AT. MEDICAS 2024'!$A$9:$A$874,"20/03/2025",'AT. MEDICAS 2024'!$I$9:$I$874,B79)</f>
        <v>0</v>
      </c>
      <c r="W79" s="30">
        <f>COUNTIFS('AT. MEDICAS 2024'!$A$9:$A$874,"21/03/2025",'AT. MEDICAS 2024'!$I$9:$I$874,B79)</f>
        <v>0</v>
      </c>
      <c r="X79" s="30">
        <f>COUNTIFS('AT. MEDICAS 2024'!$A$9:$A$874,"22/03/2025",'AT. MEDICAS 2024'!$I$9:$I$874,B79)</f>
        <v>0</v>
      </c>
      <c r="Y79" s="30">
        <f>COUNTIFS('AT. MEDICAS 2024'!$A$9:$A$874,"23/03/2025",'AT. MEDICAS 2024'!$I$9:$I$874,B79)</f>
        <v>0</v>
      </c>
      <c r="Z79" s="30">
        <f>COUNTIFS('AT. MEDICAS 2024'!$A$9:$A$874,"24/03/2025",'AT. MEDICAS 2024'!$I$9:$I$874,B79)</f>
        <v>0</v>
      </c>
      <c r="AA79" s="30">
        <f>COUNTIFS('AT. MEDICAS 2024'!$A$9:$A$874,"25/03/2025",'AT. MEDICAS 2024'!$I$9:$I$874,B79)</f>
        <v>0</v>
      </c>
      <c r="AB79" s="30">
        <f>COUNTIFS('AT. MEDICAS 2024'!$A$9:$A$874,"26/03/2025",'AT. MEDICAS 2024'!$I$9:$I$874,B79)</f>
        <v>0</v>
      </c>
      <c r="AC79" s="30">
        <f>COUNTIFS('AT. MEDICAS 2024'!$A$9:$A$874,"27/03/2025",'AT. MEDICAS 2024'!$I$9:$I$874,B79)</f>
        <v>0</v>
      </c>
      <c r="AD79" s="30">
        <f>COUNTIFS('AT. MEDICAS 2024'!$A$9:$A$874,"28/03/2025",'AT. MEDICAS 2024'!$I$9:$I$874,B79)</f>
        <v>0</v>
      </c>
      <c r="AE79" s="30">
        <f>COUNTIFS('AT. MEDICAS 2024'!$A$9:$A$874,"29/03/2025",'AT. MEDICAS 2024'!$I$9:$I$874,B79)</f>
        <v>0</v>
      </c>
      <c r="AF79" s="30">
        <f>COUNTIFS('AT. MEDICAS 2024'!$A$9:$A$874,"30/03/2025",'AT. MEDICAS 2024'!$I$9:$I$874,B79)</f>
        <v>0</v>
      </c>
      <c r="AG79" s="30">
        <f>COUNTIFS('AT. MEDICAS 2024'!$A$9:$A$874,"31/03/2025",'AT. MEDICAS 2024'!$I$9:$I$874,B79)</f>
        <v>0</v>
      </c>
      <c r="AH79" s="55">
        <f t="shared" si="15"/>
        <v>0</v>
      </c>
    </row>
    <row r="80" spans="1:34" ht="13.8" thickBot="1" x14ac:dyDescent="0.3">
      <c r="A80" s="41">
        <v>20</v>
      </c>
      <c r="B80" s="54" t="s">
        <v>31</v>
      </c>
      <c r="C80" s="30">
        <f>COUNTIFS('AT. MEDICAS 2024'!$A$9:$A$874,"01/03/2025",'AT. MEDICAS 2024'!$I$9:$I$874,B80)</f>
        <v>0</v>
      </c>
      <c r="D80" s="30">
        <f>COUNTIFS('AT. MEDICAS 2024'!$A$9:$A$874,"02/03/2025",'AT. MEDICAS 2024'!$I$9:$I$874,B80)</f>
        <v>0</v>
      </c>
      <c r="E80" s="30">
        <f>COUNTIFS('AT. MEDICAS 2024'!$A$9:$A$874,"03/03/2025",'AT. MEDICAS 2024'!$I$9:$I$874,B80)</f>
        <v>0</v>
      </c>
      <c r="F80" s="30">
        <f>COUNTIFS('AT. MEDICAS 2024'!$A$9:$A$874,"04/03/2025",'AT. MEDICAS 2024'!$I$9:$I$874,B80)</f>
        <v>0</v>
      </c>
      <c r="G80" s="30">
        <f>COUNTIFS('AT. MEDICAS 2024'!$A$9:$A$874,"05/03/2025",'AT. MEDICAS 2024'!$I$9:$I$874,B80)</f>
        <v>0</v>
      </c>
      <c r="H80" s="30">
        <f>COUNTIFS('AT. MEDICAS 2024'!$A$9:$A$874,"06/03/2025",'AT. MEDICAS 2024'!$I$9:$I$874,B80)</f>
        <v>0</v>
      </c>
      <c r="I80" s="30">
        <f>COUNTIFS('AT. MEDICAS 2024'!$A$9:$A$874,"07/03/2025",'AT. MEDICAS 2024'!$I$9:$I$874,B80)</f>
        <v>0</v>
      </c>
      <c r="J80" s="30">
        <f>COUNTIFS('AT. MEDICAS 2024'!$A$9:$A$874,"08/03/2025",'AT. MEDICAS 2024'!$I$9:$I$874,B80)</f>
        <v>0</v>
      </c>
      <c r="K80" s="30">
        <f>COUNTIFS('AT. MEDICAS 2024'!$A$9:$A$874,"09/03/2025",'AT. MEDICAS 2024'!$I$9:$I$874,B80)</f>
        <v>0</v>
      </c>
      <c r="L80" s="30">
        <f>COUNTIFS('AT. MEDICAS 2024'!$A$9:$A$874,"10/03/2025",'AT. MEDICAS 2024'!$I$9:$I$874,B80)</f>
        <v>0</v>
      </c>
      <c r="M80" s="30">
        <f>COUNTIFS('AT. MEDICAS 2024'!$A$9:$A$874,"11/03/2025",'AT. MEDICAS 2024'!$I$9:$I$874,B80)</f>
        <v>0</v>
      </c>
      <c r="N80" s="30">
        <f>COUNTIFS('AT. MEDICAS 2024'!$A$9:$A$874,"12/03/2025",'AT. MEDICAS 2024'!$I$9:$I$874,B80)</f>
        <v>0</v>
      </c>
      <c r="O80" s="30">
        <f>COUNTIFS('AT. MEDICAS 2024'!$A$9:$A$874,"13/03/2025",'AT. MEDICAS 2024'!$I$9:$I$874,B80)</f>
        <v>0</v>
      </c>
      <c r="P80" s="30">
        <f>COUNTIFS('AT. MEDICAS 2024'!$A$9:$A$874,"14/03/2025",'AT. MEDICAS 2024'!$I$9:$I$874,B80)</f>
        <v>0</v>
      </c>
      <c r="Q80" s="30">
        <f>COUNTIFS('AT. MEDICAS 2024'!$A$9:$A$874,"15/03/2025",'AT. MEDICAS 2024'!$I$9:$I$874,B80)</f>
        <v>0</v>
      </c>
      <c r="R80" s="30">
        <f>COUNTIFS('AT. MEDICAS 2024'!$A$9:$A$874,"16/03/2025",'AT. MEDICAS 2024'!$I$9:$I$874,B80)</f>
        <v>0</v>
      </c>
      <c r="S80" s="30">
        <f>COUNTIFS('AT. MEDICAS 2024'!$A$9:$A$874,"17/03/2025",'AT. MEDICAS 2024'!$I$9:$I$874,B80)</f>
        <v>0</v>
      </c>
      <c r="T80" s="30">
        <f>COUNTIFS('AT. MEDICAS 2024'!$A$9:$A$874,"18/03/2025",'AT. MEDICAS 2024'!$I$9:$I$874,B80)</f>
        <v>0</v>
      </c>
      <c r="U80" s="30">
        <f>COUNTIFS('AT. MEDICAS 2024'!$A$9:$A$874,"19/03/2025",'AT. MEDICAS 2024'!$I$9:$I$874,B80)</f>
        <v>0</v>
      </c>
      <c r="V80" s="30">
        <f>COUNTIFS('AT. MEDICAS 2024'!$A$9:$A$874,"20/03/2025",'AT. MEDICAS 2024'!$I$9:$I$874,B80)</f>
        <v>0</v>
      </c>
      <c r="W80" s="30">
        <f>COUNTIFS('AT. MEDICAS 2024'!$A$9:$A$874,"21/03/2025",'AT. MEDICAS 2024'!$I$9:$I$874,B80)</f>
        <v>0</v>
      </c>
      <c r="X80" s="30">
        <f>COUNTIFS('AT. MEDICAS 2024'!$A$9:$A$874,"22/03/2025",'AT. MEDICAS 2024'!$I$9:$I$874,B80)</f>
        <v>0</v>
      </c>
      <c r="Y80" s="30">
        <f>COUNTIFS('AT. MEDICAS 2024'!$A$9:$A$874,"23/03/2025",'AT. MEDICAS 2024'!$I$9:$I$874,B80)</f>
        <v>0</v>
      </c>
      <c r="Z80" s="30">
        <f>COUNTIFS('AT. MEDICAS 2024'!$A$9:$A$874,"24/03/2025",'AT. MEDICAS 2024'!$I$9:$I$874,B80)</f>
        <v>0</v>
      </c>
      <c r="AA80" s="30">
        <f>COUNTIFS('AT. MEDICAS 2024'!$A$9:$A$874,"25/03/2025",'AT. MEDICAS 2024'!$I$9:$I$874,B80)</f>
        <v>0</v>
      </c>
      <c r="AB80" s="30">
        <f>COUNTIFS('AT. MEDICAS 2024'!$A$9:$A$874,"26/03/2025",'AT. MEDICAS 2024'!$I$9:$I$874,B80)</f>
        <v>0</v>
      </c>
      <c r="AC80" s="30">
        <f>COUNTIFS('AT. MEDICAS 2024'!$A$9:$A$874,"27/03/2025",'AT. MEDICAS 2024'!$I$9:$I$874,B80)</f>
        <v>0</v>
      </c>
      <c r="AD80" s="30">
        <f>COUNTIFS('AT. MEDICAS 2024'!$A$9:$A$874,"28/03/2025",'AT. MEDICAS 2024'!$I$9:$I$874,B80)</f>
        <v>0</v>
      </c>
      <c r="AE80" s="30">
        <f>COUNTIFS('AT. MEDICAS 2024'!$A$9:$A$874,"29/03/2025",'AT. MEDICAS 2024'!$I$9:$I$874,B80)</f>
        <v>0</v>
      </c>
      <c r="AF80" s="30">
        <f>COUNTIFS('AT. MEDICAS 2024'!$A$9:$A$874,"30/03/2025",'AT. MEDICAS 2024'!$I$9:$I$874,B80)</f>
        <v>0</v>
      </c>
      <c r="AG80" s="30">
        <f>COUNTIFS('AT. MEDICAS 2024'!$A$9:$A$874,"31/03/2025",'AT. MEDICAS 2024'!$I$9:$I$874,B80)</f>
        <v>0</v>
      </c>
      <c r="AH80" s="55">
        <f t="shared" si="15"/>
        <v>0</v>
      </c>
    </row>
    <row r="81" spans="1:34" ht="18.600000000000001" customHeight="1" thickBot="1" x14ac:dyDescent="0.3">
      <c r="A81" s="92"/>
      <c r="B81" s="93"/>
      <c r="C81" s="55">
        <f>SUM(C61:C80)</f>
        <v>0</v>
      </c>
      <c r="D81" s="55">
        <f t="shared" ref="D81:AE81" si="16">SUM(D61:D80)</f>
        <v>0</v>
      </c>
      <c r="E81" s="55">
        <f t="shared" si="16"/>
        <v>0</v>
      </c>
      <c r="F81" s="55">
        <f t="shared" si="16"/>
        <v>0</v>
      </c>
      <c r="G81" s="55">
        <f t="shared" si="16"/>
        <v>0</v>
      </c>
      <c r="H81" s="55">
        <f t="shared" si="16"/>
        <v>0</v>
      </c>
      <c r="I81" s="55">
        <f t="shared" si="16"/>
        <v>0</v>
      </c>
      <c r="J81" s="55">
        <f t="shared" si="16"/>
        <v>0</v>
      </c>
      <c r="K81" s="55">
        <f t="shared" si="16"/>
        <v>0</v>
      </c>
      <c r="L81" s="55">
        <f t="shared" si="16"/>
        <v>0</v>
      </c>
      <c r="M81" s="55">
        <f t="shared" si="16"/>
        <v>0</v>
      </c>
      <c r="N81" s="55">
        <f t="shared" si="16"/>
        <v>0</v>
      </c>
      <c r="O81" s="55">
        <f t="shared" si="16"/>
        <v>0</v>
      </c>
      <c r="P81" s="55">
        <f t="shared" si="16"/>
        <v>0</v>
      </c>
      <c r="Q81" s="55">
        <f t="shared" si="16"/>
        <v>0</v>
      </c>
      <c r="R81" s="55">
        <f t="shared" si="16"/>
        <v>0</v>
      </c>
      <c r="S81" s="55">
        <f t="shared" si="16"/>
        <v>0</v>
      </c>
      <c r="T81" s="55">
        <f t="shared" si="16"/>
        <v>0</v>
      </c>
      <c r="U81" s="55">
        <f t="shared" si="16"/>
        <v>0</v>
      </c>
      <c r="V81" s="55">
        <f t="shared" si="16"/>
        <v>0</v>
      </c>
      <c r="W81" s="55">
        <f t="shared" si="16"/>
        <v>0</v>
      </c>
      <c r="X81" s="55">
        <f t="shared" si="16"/>
        <v>0</v>
      </c>
      <c r="Y81" s="55">
        <f t="shared" si="16"/>
        <v>0</v>
      </c>
      <c r="Z81" s="55">
        <f t="shared" si="16"/>
        <v>0</v>
      </c>
      <c r="AA81" s="55">
        <f t="shared" si="16"/>
        <v>0</v>
      </c>
      <c r="AB81" s="55">
        <f t="shared" si="16"/>
        <v>0</v>
      </c>
      <c r="AC81" s="55">
        <f t="shared" si="16"/>
        <v>0</v>
      </c>
      <c r="AD81" s="55">
        <f t="shared" si="16"/>
        <v>0</v>
      </c>
      <c r="AE81" s="55">
        <f t="shared" si="16"/>
        <v>0</v>
      </c>
      <c r="AF81" s="55">
        <f>SUM(AF61:AF80)</f>
        <v>0</v>
      </c>
      <c r="AG81" s="55">
        <f>SUM(AG61:AG80)</f>
        <v>0</v>
      </c>
      <c r="AH81" s="30">
        <f>SUM(AH61:AH80)</f>
        <v>0</v>
      </c>
    </row>
    <row r="83" spans="1:34" ht="28.2" customHeight="1" x14ac:dyDescent="0.25">
      <c r="A83" s="92" t="s">
        <v>174</v>
      </c>
      <c r="B83" s="93"/>
      <c r="C83" s="111">
        <v>45748</v>
      </c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3" t="s">
        <v>178</v>
      </c>
    </row>
    <row r="84" spans="1:34" ht="13.8" thickBot="1" x14ac:dyDescent="0.3">
      <c r="A84" s="115" t="s">
        <v>175</v>
      </c>
      <c r="B84" s="115" t="s">
        <v>176</v>
      </c>
      <c r="C84" s="45">
        <v>1</v>
      </c>
      <c r="D84" s="45">
        <v>2</v>
      </c>
      <c r="E84" s="45">
        <v>3</v>
      </c>
      <c r="F84" s="45">
        <v>4</v>
      </c>
      <c r="G84" s="45">
        <v>5</v>
      </c>
      <c r="H84" s="45">
        <v>6</v>
      </c>
      <c r="I84" s="45">
        <v>7</v>
      </c>
      <c r="J84" s="45">
        <v>8</v>
      </c>
      <c r="K84" s="45">
        <v>9</v>
      </c>
      <c r="L84" s="45">
        <v>10</v>
      </c>
      <c r="M84" s="45">
        <v>11</v>
      </c>
      <c r="N84" s="45">
        <v>12</v>
      </c>
      <c r="O84" s="45">
        <v>13</v>
      </c>
      <c r="P84" s="45">
        <v>14</v>
      </c>
      <c r="Q84" s="45">
        <v>15</v>
      </c>
      <c r="R84" s="45">
        <v>16</v>
      </c>
      <c r="S84" s="45">
        <v>17</v>
      </c>
      <c r="T84" s="45">
        <v>18</v>
      </c>
      <c r="U84" s="45">
        <v>19</v>
      </c>
      <c r="V84" s="45">
        <v>20</v>
      </c>
      <c r="W84" s="45">
        <v>21</v>
      </c>
      <c r="X84" s="45">
        <v>22</v>
      </c>
      <c r="Y84" s="45">
        <v>23</v>
      </c>
      <c r="Z84" s="45">
        <v>24</v>
      </c>
      <c r="AA84" s="45">
        <v>25</v>
      </c>
      <c r="AB84" s="45">
        <v>26</v>
      </c>
      <c r="AC84" s="45">
        <v>27</v>
      </c>
      <c r="AD84" s="45">
        <v>28</v>
      </c>
      <c r="AE84" s="45">
        <v>29</v>
      </c>
      <c r="AF84" s="45">
        <v>30</v>
      </c>
      <c r="AG84" s="45"/>
      <c r="AH84" s="114"/>
    </row>
    <row r="85" spans="1:34" ht="13.8" thickBot="1" x14ac:dyDescent="0.3">
      <c r="A85" s="116"/>
      <c r="B85" s="116"/>
      <c r="C85" s="28" t="s">
        <v>24</v>
      </c>
      <c r="D85" s="28" t="s">
        <v>24</v>
      </c>
      <c r="E85" s="28" t="s">
        <v>180</v>
      </c>
      <c r="F85" s="28" t="s">
        <v>181</v>
      </c>
      <c r="G85" s="28" t="s">
        <v>182</v>
      </c>
      <c r="H85" s="28" t="s">
        <v>183</v>
      </c>
      <c r="I85" s="28" t="s">
        <v>179</v>
      </c>
      <c r="J85" s="28" t="s">
        <v>24</v>
      </c>
      <c r="K85" s="28" t="s">
        <v>24</v>
      </c>
      <c r="L85" s="28" t="s">
        <v>180</v>
      </c>
      <c r="M85" s="28" t="s">
        <v>181</v>
      </c>
      <c r="N85" s="28" t="s">
        <v>182</v>
      </c>
      <c r="O85" s="28" t="s">
        <v>183</v>
      </c>
      <c r="P85" s="28" t="s">
        <v>179</v>
      </c>
      <c r="Q85" s="28" t="s">
        <v>24</v>
      </c>
      <c r="R85" s="28" t="s">
        <v>24</v>
      </c>
      <c r="S85" s="28" t="s">
        <v>180</v>
      </c>
      <c r="T85" s="28" t="s">
        <v>181</v>
      </c>
      <c r="U85" s="28" t="s">
        <v>182</v>
      </c>
      <c r="V85" s="28" t="s">
        <v>183</v>
      </c>
      <c r="W85" s="28" t="s">
        <v>179</v>
      </c>
      <c r="X85" s="28" t="s">
        <v>24</v>
      </c>
      <c r="Y85" s="28" t="s">
        <v>24</v>
      </c>
      <c r="Z85" s="28" t="s">
        <v>180</v>
      </c>
      <c r="AA85" s="28" t="s">
        <v>181</v>
      </c>
      <c r="AB85" s="28" t="s">
        <v>182</v>
      </c>
      <c r="AC85" s="28" t="s">
        <v>183</v>
      </c>
      <c r="AD85" s="28" t="s">
        <v>179</v>
      </c>
      <c r="AE85" s="28" t="s">
        <v>24</v>
      </c>
      <c r="AF85" s="28" t="s">
        <v>24</v>
      </c>
      <c r="AG85" s="28"/>
      <c r="AH85" s="17" t="s">
        <v>184</v>
      </c>
    </row>
    <row r="86" spans="1:34" ht="13.8" thickBot="1" x14ac:dyDescent="0.3">
      <c r="A86" s="41">
        <v>1</v>
      </c>
      <c r="B86" s="54" t="s">
        <v>185</v>
      </c>
      <c r="C86" s="30">
        <f>COUNTIFS('AT. MEDICAS 2024'!$A$9:$A$874,"01/04/2025",'AT. MEDICAS 2024'!$I$9:$I$874,B86)</f>
        <v>0</v>
      </c>
      <c r="D86" s="30">
        <f>COUNTIFS('AT. MEDICAS 2024'!$A$9:$A$874,"02/04/2025",'AT. MEDICAS 2024'!$I$9:$I$874,B86)</f>
        <v>0</v>
      </c>
      <c r="E86" s="30">
        <f>COUNTIFS('AT. MEDICAS 2024'!$A$9:$A$874,"03/04/2025",'AT. MEDICAS 2024'!$I$9:$I$874,B86)</f>
        <v>0</v>
      </c>
      <c r="F86" s="30">
        <f>COUNTIFS('AT. MEDICAS 2024'!$A$9:$A$874,"04/04/2025",'AT. MEDICAS 2024'!$I$9:$I$874,B86)</f>
        <v>0</v>
      </c>
      <c r="G86" s="30">
        <f>COUNTIFS('AT. MEDICAS 2024'!$A$9:$A$874,"05/04/2025",'AT. MEDICAS 2024'!$I$9:$I$874,B86)</f>
        <v>0</v>
      </c>
      <c r="H86" s="30">
        <f>COUNTIFS('AT. MEDICAS 2024'!$A$9:$A$874,"06/04/2025",'AT. MEDICAS 2024'!$I$9:$I$874,B86)</f>
        <v>0</v>
      </c>
      <c r="I86" s="30">
        <f>COUNTIFS('AT. MEDICAS 2024'!$A$9:$A$874,"07/04/2025",'AT. MEDICAS 2024'!$I$9:$I$874,B86)</f>
        <v>0</v>
      </c>
      <c r="J86" s="30">
        <f>COUNTIFS('AT. MEDICAS 2024'!$A$9:$A$874,"08/04/2025",'AT. MEDICAS 2024'!$I$9:$I$874,B86)</f>
        <v>0</v>
      </c>
      <c r="K86" s="30">
        <f>COUNTIFS('AT. MEDICAS 2024'!$A$9:$A$874,"09/04/2025",'AT. MEDICAS 2024'!$I$9:$I$874,B86)</f>
        <v>0</v>
      </c>
      <c r="L86" s="30">
        <f>COUNTIFS('AT. MEDICAS 2024'!$A$9:$A$874,"10/04/2025",'AT. MEDICAS 2024'!$I$9:$I$874,B86)</f>
        <v>0</v>
      </c>
      <c r="M86" s="30">
        <f>COUNTIFS('AT. MEDICAS 2024'!$A$9:$A$874,"11/04/2025",'AT. MEDICAS 2024'!$I$9:$I$874,B86)</f>
        <v>0</v>
      </c>
      <c r="N86" s="30">
        <f>COUNTIFS('AT. MEDICAS 2024'!$A$9:$A$874,"12/04/2025",'AT. MEDICAS 2024'!$I$9:$I$874,B86)</f>
        <v>0</v>
      </c>
      <c r="O86" s="30">
        <f>COUNTIFS('AT. MEDICAS 2024'!$A$9:$A$874,"13/04/2025",'AT. MEDICAS 2024'!$I$9:$I$874,B86)</f>
        <v>0</v>
      </c>
      <c r="P86" s="30">
        <f>COUNTIFS('AT. MEDICAS 2024'!$A$9:$A$874,"14/04/2025",'AT. MEDICAS 2024'!$I$9:$I$874,B86)</f>
        <v>0</v>
      </c>
      <c r="Q86" s="30">
        <f>COUNTIFS('AT. MEDICAS 2024'!$A$9:$A$874,"15/04/2025",'AT. MEDICAS 2024'!$I$9:$I$874,B86)</f>
        <v>0</v>
      </c>
      <c r="R86" s="30">
        <f>COUNTIFS('AT. MEDICAS 2024'!$A$9:$A$874,"16/04/2025",'AT. MEDICAS 2024'!$I$9:$I$874,B86)</f>
        <v>0</v>
      </c>
      <c r="S86" s="30">
        <f>COUNTIFS('AT. MEDICAS 2024'!$A$9:$A$874,"17/04/2025",'AT. MEDICAS 2024'!$I$9:$I$874,B86)</f>
        <v>0</v>
      </c>
      <c r="T86" s="30">
        <f>COUNTIFS('AT. MEDICAS 2024'!$A$9:$A$874,"18/04/2025",'AT. MEDICAS 2024'!$I$9:$I$874,B86)</f>
        <v>0</v>
      </c>
      <c r="U86" s="30">
        <f>COUNTIFS('AT. MEDICAS 2024'!$A$9:$A$874,"19/04/2025",'AT. MEDICAS 2024'!$I$9:$I$874,B86)</f>
        <v>0</v>
      </c>
      <c r="V86" s="30">
        <f>COUNTIFS('AT. MEDICAS 2024'!$A$9:$A$874,"20/04/2025",'AT. MEDICAS 2024'!$I$9:$I$874,B86)</f>
        <v>0</v>
      </c>
      <c r="W86" s="30">
        <f>COUNTIFS('AT. MEDICAS 2024'!$A$9:$A$874,"21/04/2025",'AT. MEDICAS 2024'!$I$9:$I$874,B86)</f>
        <v>0</v>
      </c>
      <c r="X86" s="30">
        <f>COUNTIFS('AT. MEDICAS 2024'!$A$9:$A$874,"22/04/2025",'AT. MEDICAS 2024'!$I$9:$I$874,B86)</f>
        <v>0</v>
      </c>
      <c r="Y86" s="30">
        <f>COUNTIFS('AT. MEDICAS 2024'!$A$9:$A$874,"23/04/2025",'AT. MEDICAS 2024'!$I$9:$I$874,B86)</f>
        <v>0</v>
      </c>
      <c r="Z86" s="30">
        <f>COUNTIFS('AT. MEDICAS 2024'!$A$9:$A$874,"24/04/2025",'AT. MEDICAS 2024'!$I$9:$I$874,B86)</f>
        <v>0</v>
      </c>
      <c r="AA86" s="30">
        <f>COUNTIFS('AT. MEDICAS 2024'!$A$9:$A$874,"25/04/2025",'AT. MEDICAS 2024'!$I$9:$I$874,B86)</f>
        <v>0</v>
      </c>
      <c r="AB86" s="30">
        <f>COUNTIFS('AT. MEDICAS 2024'!$A$9:$A$874,"26/04/2025",'AT. MEDICAS 2024'!$I$9:$I$874,B86)</f>
        <v>0</v>
      </c>
      <c r="AC86" s="30">
        <f>COUNTIFS('AT. MEDICAS 2024'!$A$9:$A$874,"27/04/2025",'AT. MEDICAS 2024'!$I$9:$I$874,B86)</f>
        <v>0</v>
      </c>
      <c r="AD86" s="30">
        <f>COUNTIFS('AT. MEDICAS 2024'!$A$9:$A$874,"28/04/2025",'AT. MEDICAS 2024'!$I$9:$I$874,B86)</f>
        <v>0</v>
      </c>
      <c r="AE86" s="30">
        <f>COUNTIFS('AT. MEDICAS 2024'!$A$9:$A$874,"29/04/2025",'AT. MEDICAS 2024'!$I$9:$I$874,B86)</f>
        <v>0</v>
      </c>
      <c r="AF86" s="30">
        <f>COUNTIFS('AT. MEDICAS 2024'!$A$9:$A$874,"30/04/2025",'AT. MEDICAS 2024'!$I$9:$I$874,B86)</f>
        <v>0</v>
      </c>
      <c r="AG86" s="30"/>
      <c r="AH86" s="55">
        <f t="shared" ref="AH86:AH105" si="17">SUM(C86:AG86)</f>
        <v>0</v>
      </c>
    </row>
    <row r="87" spans="1:34" ht="13.8" thickBot="1" x14ac:dyDescent="0.3">
      <c r="A87" s="41">
        <v>2</v>
      </c>
      <c r="B87" s="54" t="s">
        <v>186</v>
      </c>
      <c r="C87" s="30">
        <f>COUNTIFS('AT. MEDICAS 2024'!$A$9:$A$874,"01/04/2025",'AT. MEDICAS 2024'!$I$9:$I$874,B87)</f>
        <v>0</v>
      </c>
      <c r="D87" s="30">
        <f>COUNTIFS('AT. MEDICAS 2024'!$A$9:$A$874,"02/04/2025",'AT. MEDICAS 2024'!$I$9:$I$874,B87)</f>
        <v>0</v>
      </c>
      <c r="E87" s="30">
        <f>COUNTIFS('AT. MEDICAS 2024'!$A$9:$A$874,"03/04/2025",'AT. MEDICAS 2024'!$I$9:$I$874,B87)</f>
        <v>0</v>
      </c>
      <c r="F87" s="30">
        <f>COUNTIFS('AT. MEDICAS 2024'!$A$9:$A$874,"04/04/2025",'AT. MEDICAS 2024'!$I$9:$I$874,B87)</f>
        <v>0</v>
      </c>
      <c r="G87" s="30">
        <f>COUNTIFS('AT. MEDICAS 2024'!$A$9:$A$874,"05/04/2025",'AT. MEDICAS 2024'!$I$9:$I$874,B87)</f>
        <v>0</v>
      </c>
      <c r="H87" s="30">
        <f>COUNTIFS('AT. MEDICAS 2024'!$A$9:$A$874,"06/04/2025",'AT. MEDICAS 2024'!$I$9:$I$874,B87)</f>
        <v>0</v>
      </c>
      <c r="I87" s="30">
        <f>COUNTIFS('AT. MEDICAS 2024'!$A$9:$A$874,"07/04/2025",'AT. MEDICAS 2024'!$I$9:$I$874,B87)</f>
        <v>0</v>
      </c>
      <c r="J87" s="30">
        <f>COUNTIFS('AT. MEDICAS 2024'!$A$9:$A$874,"08/04/2025",'AT. MEDICAS 2024'!$I$9:$I$874,B87)</f>
        <v>0</v>
      </c>
      <c r="K87" s="30">
        <f>COUNTIFS('AT. MEDICAS 2024'!$A$9:$A$874,"09/04/2025",'AT. MEDICAS 2024'!$I$9:$I$874,B87)</f>
        <v>0</v>
      </c>
      <c r="L87" s="30">
        <f>COUNTIFS('AT. MEDICAS 2024'!$A$9:$A$874,"10/04/2025",'AT. MEDICAS 2024'!$I$9:$I$874,B87)</f>
        <v>0</v>
      </c>
      <c r="M87" s="30">
        <f>COUNTIFS('AT. MEDICAS 2024'!$A$9:$A$874,"11/04/2025",'AT. MEDICAS 2024'!$I$9:$I$874,B87)</f>
        <v>0</v>
      </c>
      <c r="N87" s="30">
        <f>COUNTIFS('AT. MEDICAS 2024'!$A$9:$A$874,"12/04/2025",'AT. MEDICAS 2024'!$I$9:$I$874,B87)</f>
        <v>0</v>
      </c>
      <c r="O87" s="30">
        <f>COUNTIFS('AT. MEDICAS 2024'!$A$9:$A$874,"13/04/2025",'AT. MEDICAS 2024'!$I$9:$I$874,B87)</f>
        <v>0</v>
      </c>
      <c r="P87" s="30">
        <f>COUNTIFS('AT. MEDICAS 2024'!$A$9:$A$874,"14/04/2025",'AT. MEDICAS 2024'!$I$9:$I$874,B87)</f>
        <v>0</v>
      </c>
      <c r="Q87" s="30">
        <f>COUNTIFS('AT. MEDICAS 2024'!$A$9:$A$874,"15/04/2025",'AT. MEDICAS 2024'!$I$9:$I$874,B87)</f>
        <v>0</v>
      </c>
      <c r="R87" s="30">
        <f>COUNTIFS('AT. MEDICAS 2024'!$A$9:$A$874,"16/04/2025",'AT. MEDICAS 2024'!$I$9:$I$874,B87)</f>
        <v>0</v>
      </c>
      <c r="S87" s="30">
        <f>COUNTIFS('AT. MEDICAS 2024'!$A$9:$A$874,"17/04/2025",'AT. MEDICAS 2024'!$I$9:$I$874,B87)</f>
        <v>0</v>
      </c>
      <c r="T87" s="30">
        <f>COUNTIFS('AT. MEDICAS 2024'!$A$9:$A$874,"18/04/2025",'AT. MEDICAS 2024'!$I$9:$I$874,B87)</f>
        <v>0</v>
      </c>
      <c r="U87" s="30">
        <f>COUNTIFS('AT. MEDICAS 2024'!$A$9:$A$874,"19/04/2025",'AT. MEDICAS 2024'!$I$9:$I$874,B87)</f>
        <v>0</v>
      </c>
      <c r="V87" s="30">
        <f>COUNTIFS('AT. MEDICAS 2024'!$A$9:$A$874,"20/04/2025",'AT. MEDICAS 2024'!$I$9:$I$874,B87)</f>
        <v>0</v>
      </c>
      <c r="W87" s="30">
        <f>COUNTIFS('AT. MEDICAS 2024'!$A$9:$A$874,"21/04/2025",'AT. MEDICAS 2024'!$I$9:$I$874,B87)</f>
        <v>0</v>
      </c>
      <c r="X87" s="30">
        <f>COUNTIFS('AT. MEDICAS 2024'!$A$9:$A$874,"22/04/2025",'AT. MEDICAS 2024'!$I$9:$I$874,B87)</f>
        <v>0</v>
      </c>
      <c r="Y87" s="30">
        <f>COUNTIFS('AT. MEDICAS 2024'!$A$9:$A$874,"23/04/2025",'AT. MEDICAS 2024'!$I$9:$I$874,B87)</f>
        <v>0</v>
      </c>
      <c r="Z87" s="30">
        <f>COUNTIFS('AT. MEDICAS 2024'!$A$9:$A$874,"24/04/2025",'AT. MEDICAS 2024'!$I$9:$I$874,B87)</f>
        <v>0</v>
      </c>
      <c r="AA87" s="30">
        <f>COUNTIFS('AT. MEDICAS 2024'!$A$9:$A$874,"25/04/2025",'AT. MEDICAS 2024'!$I$9:$I$874,B87)</f>
        <v>0</v>
      </c>
      <c r="AB87" s="30">
        <f>COUNTIFS('AT. MEDICAS 2024'!$A$9:$A$874,"26/04/2025",'AT. MEDICAS 2024'!$I$9:$I$874,B87)</f>
        <v>0</v>
      </c>
      <c r="AC87" s="30">
        <f>COUNTIFS('AT. MEDICAS 2024'!$A$9:$A$874,"27/04/2025",'AT. MEDICAS 2024'!$I$9:$I$874,B87)</f>
        <v>0</v>
      </c>
      <c r="AD87" s="30">
        <f>COUNTIFS('AT. MEDICAS 2024'!$A$9:$A$874,"28/04/2025",'AT. MEDICAS 2024'!$I$9:$I$874,B87)</f>
        <v>0</v>
      </c>
      <c r="AE87" s="30">
        <f>COUNTIFS('AT. MEDICAS 2024'!$A$9:$A$874,"29/04/2025",'AT. MEDICAS 2024'!$I$9:$I$874,B87)</f>
        <v>0</v>
      </c>
      <c r="AF87" s="30">
        <f>COUNTIFS('AT. MEDICAS 2024'!$A$9:$A$874,"30/04/2025",'AT. MEDICAS 2024'!$I$9:$I$874,B87)</f>
        <v>0</v>
      </c>
      <c r="AG87" s="30"/>
      <c r="AH87" s="55">
        <f t="shared" si="17"/>
        <v>0</v>
      </c>
    </row>
    <row r="88" spans="1:34" ht="13.8" thickBot="1" x14ac:dyDescent="0.3">
      <c r="A88" s="41">
        <v>3</v>
      </c>
      <c r="B88" s="54" t="s">
        <v>94</v>
      </c>
      <c r="C88" s="30">
        <f>COUNTIFS('AT. MEDICAS 2024'!$A$9:$A$874,"01/04/2025",'AT. MEDICAS 2024'!$I$9:$I$874,B88)</f>
        <v>0</v>
      </c>
      <c r="D88" s="30">
        <f>COUNTIFS('AT. MEDICAS 2024'!$A$9:$A$874,"02/04/2025",'AT. MEDICAS 2024'!$I$9:$I$874,B88)</f>
        <v>0</v>
      </c>
      <c r="E88" s="30">
        <f>COUNTIFS('AT. MEDICAS 2024'!$A$9:$A$874,"03/04/2025",'AT. MEDICAS 2024'!$I$9:$I$874,B88)</f>
        <v>0</v>
      </c>
      <c r="F88" s="30">
        <f>COUNTIFS('AT. MEDICAS 2024'!$A$9:$A$874,"04/04/2025",'AT. MEDICAS 2024'!$I$9:$I$874,B88)</f>
        <v>0</v>
      </c>
      <c r="G88" s="30">
        <f>COUNTIFS('AT. MEDICAS 2024'!$A$9:$A$874,"05/04/2025",'AT. MEDICAS 2024'!$I$9:$I$874,B88)</f>
        <v>0</v>
      </c>
      <c r="H88" s="30">
        <f>COUNTIFS('AT. MEDICAS 2024'!$A$9:$A$874,"06/04/2025",'AT. MEDICAS 2024'!$I$9:$I$874,B88)</f>
        <v>0</v>
      </c>
      <c r="I88" s="30">
        <f>COUNTIFS('AT. MEDICAS 2024'!$A$9:$A$874,"07/04/2025",'AT. MEDICAS 2024'!$I$9:$I$874,B88)</f>
        <v>0</v>
      </c>
      <c r="J88" s="30">
        <f>COUNTIFS('AT. MEDICAS 2024'!$A$9:$A$874,"08/04/2025",'AT. MEDICAS 2024'!$I$9:$I$874,B88)</f>
        <v>0</v>
      </c>
      <c r="K88" s="30">
        <f>COUNTIFS('AT. MEDICAS 2024'!$A$9:$A$874,"09/04/2025",'AT. MEDICAS 2024'!$I$9:$I$874,B88)</f>
        <v>0</v>
      </c>
      <c r="L88" s="30">
        <f>COUNTIFS('AT. MEDICAS 2024'!$A$9:$A$874,"10/04/2025",'AT. MEDICAS 2024'!$I$9:$I$874,B88)</f>
        <v>0</v>
      </c>
      <c r="M88" s="30">
        <f>COUNTIFS('AT. MEDICAS 2024'!$A$9:$A$874,"11/04/2025",'AT. MEDICAS 2024'!$I$9:$I$874,B88)</f>
        <v>0</v>
      </c>
      <c r="N88" s="30">
        <f>COUNTIFS('AT. MEDICAS 2024'!$A$9:$A$874,"12/04/2025",'AT. MEDICAS 2024'!$I$9:$I$874,B88)</f>
        <v>0</v>
      </c>
      <c r="O88" s="30">
        <f>COUNTIFS('AT. MEDICAS 2024'!$A$9:$A$874,"13/04/2025",'AT. MEDICAS 2024'!$I$9:$I$874,B88)</f>
        <v>0</v>
      </c>
      <c r="P88" s="30">
        <f>COUNTIFS('AT. MEDICAS 2024'!$A$9:$A$874,"14/04/2025",'AT. MEDICAS 2024'!$I$9:$I$874,B88)</f>
        <v>0</v>
      </c>
      <c r="Q88" s="30">
        <f>COUNTIFS('AT. MEDICAS 2024'!$A$9:$A$874,"15/04/2025",'AT. MEDICAS 2024'!$I$9:$I$874,B88)</f>
        <v>0</v>
      </c>
      <c r="R88" s="30">
        <f>COUNTIFS('AT. MEDICAS 2024'!$A$9:$A$874,"16/04/2025",'AT. MEDICAS 2024'!$I$9:$I$874,B88)</f>
        <v>0</v>
      </c>
      <c r="S88" s="30">
        <f>COUNTIFS('AT. MEDICAS 2024'!$A$9:$A$874,"17/04/2025",'AT. MEDICAS 2024'!$I$9:$I$874,B88)</f>
        <v>0</v>
      </c>
      <c r="T88" s="30">
        <f>COUNTIFS('AT. MEDICAS 2024'!$A$9:$A$874,"18/04/2025",'AT. MEDICAS 2024'!$I$9:$I$874,B88)</f>
        <v>0</v>
      </c>
      <c r="U88" s="30">
        <f>COUNTIFS('AT. MEDICAS 2024'!$A$9:$A$874,"19/04/2025",'AT. MEDICAS 2024'!$I$9:$I$874,B88)</f>
        <v>0</v>
      </c>
      <c r="V88" s="30">
        <f>COUNTIFS('AT. MEDICAS 2024'!$A$9:$A$874,"20/04/2025",'AT. MEDICAS 2024'!$I$9:$I$874,B88)</f>
        <v>0</v>
      </c>
      <c r="W88" s="30">
        <f>COUNTIFS('AT. MEDICAS 2024'!$A$9:$A$874,"21/04/2025",'AT. MEDICAS 2024'!$I$9:$I$874,B88)</f>
        <v>0</v>
      </c>
      <c r="X88" s="30">
        <f>COUNTIFS('AT. MEDICAS 2024'!$A$9:$A$874,"22/04/2025",'AT. MEDICAS 2024'!$I$9:$I$874,B88)</f>
        <v>0</v>
      </c>
      <c r="Y88" s="30">
        <f>COUNTIFS('AT. MEDICAS 2024'!$A$9:$A$874,"23/04/2025",'AT. MEDICAS 2024'!$I$9:$I$874,B88)</f>
        <v>0</v>
      </c>
      <c r="Z88" s="30">
        <f>COUNTIFS('AT. MEDICAS 2024'!$A$9:$A$874,"24/04/2025",'AT. MEDICAS 2024'!$I$9:$I$874,B88)</f>
        <v>0</v>
      </c>
      <c r="AA88" s="30">
        <f>COUNTIFS('AT. MEDICAS 2024'!$A$9:$A$874,"25/04/2025",'AT. MEDICAS 2024'!$I$9:$I$874,B88)</f>
        <v>0</v>
      </c>
      <c r="AB88" s="30">
        <f>COUNTIFS('AT. MEDICAS 2024'!$A$9:$A$874,"26/04/2025",'AT. MEDICAS 2024'!$I$9:$I$874,B88)</f>
        <v>0</v>
      </c>
      <c r="AC88" s="30">
        <f>COUNTIFS('AT. MEDICAS 2024'!$A$9:$A$874,"27/04/2025",'AT. MEDICAS 2024'!$I$9:$I$874,B88)</f>
        <v>0</v>
      </c>
      <c r="AD88" s="30">
        <f>COUNTIFS('AT. MEDICAS 2024'!$A$9:$A$874,"28/04/2025",'AT. MEDICAS 2024'!$I$9:$I$874,B88)</f>
        <v>0</v>
      </c>
      <c r="AE88" s="30">
        <f>COUNTIFS('AT. MEDICAS 2024'!$A$9:$A$874,"29/04/2025",'AT. MEDICAS 2024'!$I$9:$I$874,B88)</f>
        <v>0</v>
      </c>
      <c r="AF88" s="30">
        <f>COUNTIFS('AT. MEDICAS 2024'!$A$9:$A$874,"30/04/2025",'AT. MEDICAS 2024'!$I$9:$I$874,B88)</f>
        <v>0</v>
      </c>
      <c r="AG88" s="30"/>
      <c r="AH88" s="55">
        <f t="shared" si="17"/>
        <v>0</v>
      </c>
    </row>
    <row r="89" spans="1:34" ht="13.8" thickBot="1" x14ac:dyDescent="0.3">
      <c r="A89" s="41">
        <v>4</v>
      </c>
      <c r="B89" s="54" t="s">
        <v>50</v>
      </c>
      <c r="C89" s="30">
        <f>COUNTIFS('AT. MEDICAS 2024'!$A$9:$A$874,"01/04/2025",'AT. MEDICAS 2024'!$I$9:$I$874,B89)</f>
        <v>0</v>
      </c>
      <c r="D89" s="30">
        <f>COUNTIFS('AT. MEDICAS 2024'!$A$9:$A$874,"02/04/2025",'AT. MEDICAS 2024'!$I$9:$I$874,B89)</f>
        <v>0</v>
      </c>
      <c r="E89" s="30">
        <f>COUNTIFS('AT. MEDICAS 2024'!$A$9:$A$874,"03/04/2025",'AT. MEDICAS 2024'!$I$9:$I$874,B89)</f>
        <v>0</v>
      </c>
      <c r="F89" s="30">
        <f>COUNTIFS('AT. MEDICAS 2024'!$A$9:$A$874,"04/04/2025",'AT. MEDICAS 2024'!$I$9:$I$874,B89)</f>
        <v>0</v>
      </c>
      <c r="G89" s="30">
        <f>COUNTIFS('AT. MEDICAS 2024'!$A$9:$A$874,"05/04/2025",'AT. MEDICAS 2024'!$I$9:$I$874,B89)</f>
        <v>0</v>
      </c>
      <c r="H89" s="30">
        <f>COUNTIFS('AT. MEDICAS 2024'!$A$9:$A$874,"06/04/2025",'AT. MEDICAS 2024'!$I$9:$I$874,B89)</f>
        <v>0</v>
      </c>
      <c r="I89" s="30">
        <f>COUNTIFS('AT. MEDICAS 2024'!$A$9:$A$874,"07/04/2025",'AT. MEDICAS 2024'!$I$9:$I$874,B89)</f>
        <v>0</v>
      </c>
      <c r="J89" s="30">
        <f>COUNTIFS('AT. MEDICAS 2024'!$A$9:$A$874,"08/04/2025",'AT. MEDICAS 2024'!$I$9:$I$874,B89)</f>
        <v>0</v>
      </c>
      <c r="K89" s="30">
        <f>COUNTIFS('AT. MEDICAS 2024'!$A$9:$A$874,"09/04/2025",'AT. MEDICAS 2024'!$I$9:$I$874,B89)</f>
        <v>0</v>
      </c>
      <c r="L89" s="30">
        <f>COUNTIFS('AT. MEDICAS 2024'!$A$9:$A$874,"10/04/2025",'AT. MEDICAS 2024'!$I$9:$I$874,B89)</f>
        <v>0</v>
      </c>
      <c r="M89" s="30">
        <f>COUNTIFS('AT. MEDICAS 2024'!$A$9:$A$874,"11/04/2025",'AT. MEDICAS 2024'!$I$9:$I$874,B89)</f>
        <v>0</v>
      </c>
      <c r="N89" s="30">
        <f>COUNTIFS('AT. MEDICAS 2024'!$A$9:$A$874,"12/04/2025",'AT. MEDICAS 2024'!$I$9:$I$874,B89)</f>
        <v>0</v>
      </c>
      <c r="O89" s="30">
        <f>COUNTIFS('AT. MEDICAS 2024'!$A$9:$A$874,"13/04/2025",'AT. MEDICAS 2024'!$I$9:$I$874,B89)</f>
        <v>0</v>
      </c>
      <c r="P89" s="30">
        <f>COUNTIFS('AT. MEDICAS 2024'!$A$9:$A$874,"14/04/2025",'AT. MEDICAS 2024'!$I$9:$I$874,B89)</f>
        <v>0</v>
      </c>
      <c r="Q89" s="30">
        <f>COUNTIFS('AT. MEDICAS 2024'!$A$9:$A$874,"15/04/2025",'AT. MEDICAS 2024'!$I$9:$I$874,B89)</f>
        <v>0</v>
      </c>
      <c r="R89" s="30">
        <f>COUNTIFS('AT. MEDICAS 2024'!$A$9:$A$874,"16/04/2025",'AT. MEDICAS 2024'!$I$9:$I$874,B89)</f>
        <v>0</v>
      </c>
      <c r="S89" s="30">
        <f>COUNTIFS('AT. MEDICAS 2024'!$A$9:$A$874,"17/04/2025",'AT. MEDICAS 2024'!$I$9:$I$874,B89)</f>
        <v>0</v>
      </c>
      <c r="T89" s="30">
        <f>COUNTIFS('AT. MEDICAS 2024'!$A$9:$A$874,"18/04/2025",'AT. MEDICAS 2024'!$I$9:$I$874,B89)</f>
        <v>0</v>
      </c>
      <c r="U89" s="30">
        <f>COUNTIFS('AT. MEDICAS 2024'!$A$9:$A$874,"19/04/2025",'AT. MEDICAS 2024'!$I$9:$I$874,B89)</f>
        <v>0</v>
      </c>
      <c r="V89" s="30">
        <f>COUNTIFS('AT. MEDICAS 2024'!$A$9:$A$874,"20/04/2025",'AT. MEDICAS 2024'!$I$9:$I$874,B89)</f>
        <v>0</v>
      </c>
      <c r="W89" s="30">
        <f>COUNTIFS('AT. MEDICAS 2024'!$A$9:$A$874,"21/04/2025",'AT. MEDICAS 2024'!$I$9:$I$874,B89)</f>
        <v>0</v>
      </c>
      <c r="X89" s="30">
        <f>COUNTIFS('AT. MEDICAS 2024'!$A$9:$A$874,"22/04/2025",'AT. MEDICAS 2024'!$I$9:$I$874,B89)</f>
        <v>0</v>
      </c>
      <c r="Y89" s="30">
        <f>COUNTIFS('AT. MEDICAS 2024'!$A$9:$A$874,"23/04/2025",'AT. MEDICAS 2024'!$I$9:$I$874,B89)</f>
        <v>0</v>
      </c>
      <c r="Z89" s="30">
        <f>COUNTIFS('AT. MEDICAS 2024'!$A$9:$A$874,"24/04/2025",'AT. MEDICAS 2024'!$I$9:$I$874,B89)</f>
        <v>0</v>
      </c>
      <c r="AA89" s="30">
        <f>COUNTIFS('AT. MEDICAS 2024'!$A$9:$A$874,"25/04/2025",'AT. MEDICAS 2024'!$I$9:$I$874,B89)</f>
        <v>0</v>
      </c>
      <c r="AB89" s="30">
        <f>COUNTIFS('AT. MEDICAS 2024'!$A$9:$A$874,"26/04/2025",'AT. MEDICAS 2024'!$I$9:$I$874,B89)</f>
        <v>0</v>
      </c>
      <c r="AC89" s="30">
        <f>COUNTIFS('AT. MEDICAS 2024'!$A$9:$A$874,"27/04/2025",'AT. MEDICAS 2024'!$I$9:$I$874,B89)</f>
        <v>0</v>
      </c>
      <c r="AD89" s="30">
        <f>COUNTIFS('AT. MEDICAS 2024'!$A$9:$A$874,"28/04/2025",'AT. MEDICAS 2024'!$I$9:$I$874,B89)</f>
        <v>0</v>
      </c>
      <c r="AE89" s="30">
        <f>COUNTIFS('AT. MEDICAS 2024'!$A$9:$A$874,"29/04/2025",'AT. MEDICAS 2024'!$I$9:$I$874,B89)</f>
        <v>0</v>
      </c>
      <c r="AF89" s="30">
        <f>COUNTIFS('AT. MEDICAS 2024'!$A$9:$A$874,"30/04/2025",'AT. MEDICAS 2024'!$I$9:$I$874,B89)</f>
        <v>0</v>
      </c>
      <c r="AG89" s="30"/>
      <c r="AH89" s="55">
        <f t="shared" si="17"/>
        <v>0</v>
      </c>
    </row>
    <row r="90" spans="1:34" ht="13.8" thickBot="1" x14ac:dyDescent="0.3">
      <c r="A90" s="41">
        <v>5</v>
      </c>
      <c r="B90" s="54" t="s">
        <v>187</v>
      </c>
      <c r="C90" s="30">
        <f>COUNTIFS('AT. MEDICAS 2024'!$A$9:$A$874,"01/04/2025",'AT. MEDICAS 2024'!$I$9:$I$874,B90)</f>
        <v>0</v>
      </c>
      <c r="D90" s="30">
        <f>COUNTIFS('AT. MEDICAS 2024'!$A$9:$A$874,"02/04/2025",'AT. MEDICAS 2024'!$I$9:$I$874,B90)</f>
        <v>0</v>
      </c>
      <c r="E90" s="30">
        <f>COUNTIFS('AT. MEDICAS 2024'!$A$9:$A$874,"03/04/2025",'AT. MEDICAS 2024'!$I$9:$I$874,B90)</f>
        <v>0</v>
      </c>
      <c r="F90" s="30">
        <f>COUNTIFS('AT. MEDICAS 2024'!$A$9:$A$874,"04/04/2025",'AT. MEDICAS 2024'!$I$9:$I$874,B90)</f>
        <v>0</v>
      </c>
      <c r="G90" s="30">
        <f>COUNTIFS('AT. MEDICAS 2024'!$A$9:$A$874,"05/04/2025",'AT. MEDICAS 2024'!$I$9:$I$874,B90)</f>
        <v>0</v>
      </c>
      <c r="H90" s="30">
        <f>COUNTIFS('AT. MEDICAS 2024'!$A$9:$A$874,"06/04/2025",'AT. MEDICAS 2024'!$I$9:$I$874,B90)</f>
        <v>0</v>
      </c>
      <c r="I90" s="30">
        <f>COUNTIFS('AT. MEDICAS 2024'!$A$9:$A$874,"07/04/2025",'AT. MEDICAS 2024'!$I$9:$I$874,B90)</f>
        <v>0</v>
      </c>
      <c r="J90" s="30">
        <f>COUNTIFS('AT. MEDICAS 2024'!$A$9:$A$874,"08/04/2025",'AT. MEDICAS 2024'!$I$9:$I$874,B90)</f>
        <v>0</v>
      </c>
      <c r="K90" s="30">
        <f>COUNTIFS('AT. MEDICAS 2024'!$A$9:$A$874,"09/04/2025",'AT. MEDICAS 2024'!$I$9:$I$874,B90)</f>
        <v>0</v>
      </c>
      <c r="L90" s="30">
        <f>COUNTIFS('AT. MEDICAS 2024'!$A$9:$A$874,"10/04/2025",'AT. MEDICAS 2024'!$I$9:$I$874,B90)</f>
        <v>0</v>
      </c>
      <c r="M90" s="30">
        <f>COUNTIFS('AT. MEDICAS 2024'!$A$9:$A$874,"11/04/2025",'AT. MEDICAS 2024'!$I$9:$I$874,B90)</f>
        <v>0</v>
      </c>
      <c r="N90" s="30">
        <f>COUNTIFS('AT. MEDICAS 2024'!$A$9:$A$874,"12/04/2025",'AT. MEDICAS 2024'!$I$9:$I$874,B90)</f>
        <v>0</v>
      </c>
      <c r="O90" s="30">
        <f>COUNTIFS('AT. MEDICAS 2024'!$A$9:$A$874,"13/04/2025",'AT. MEDICAS 2024'!$I$9:$I$874,B90)</f>
        <v>0</v>
      </c>
      <c r="P90" s="30">
        <f>COUNTIFS('AT. MEDICAS 2024'!$A$9:$A$874,"14/04/2025",'AT. MEDICAS 2024'!$I$9:$I$874,B90)</f>
        <v>0</v>
      </c>
      <c r="Q90" s="30">
        <f>COUNTIFS('AT. MEDICAS 2024'!$A$9:$A$874,"15/04/2025",'AT. MEDICAS 2024'!$I$9:$I$874,B90)</f>
        <v>0</v>
      </c>
      <c r="R90" s="30">
        <f>COUNTIFS('AT. MEDICAS 2024'!$A$9:$A$874,"16/04/2025",'AT. MEDICAS 2024'!$I$9:$I$874,B90)</f>
        <v>0</v>
      </c>
      <c r="S90" s="30">
        <f>COUNTIFS('AT. MEDICAS 2024'!$A$9:$A$874,"17/04/2025",'AT. MEDICAS 2024'!$I$9:$I$874,B90)</f>
        <v>0</v>
      </c>
      <c r="T90" s="30">
        <f>COUNTIFS('AT. MEDICAS 2024'!$A$9:$A$874,"18/04/2025",'AT. MEDICAS 2024'!$I$9:$I$874,B90)</f>
        <v>0</v>
      </c>
      <c r="U90" s="30">
        <f>COUNTIFS('AT. MEDICAS 2024'!$A$9:$A$874,"19/04/2025",'AT. MEDICAS 2024'!$I$9:$I$874,B90)</f>
        <v>0</v>
      </c>
      <c r="V90" s="30">
        <f>COUNTIFS('AT. MEDICAS 2024'!$A$9:$A$874,"20/04/2025",'AT. MEDICAS 2024'!$I$9:$I$874,B90)</f>
        <v>0</v>
      </c>
      <c r="W90" s="30">
        <f>COUNTIFS('AT. MEDICAS 2024'!$A$9:$A$874,"21/04/2025",'AT. MEDICAS 2024'!$I$9:$I$874,B90)</f>
        <v>0</v>
      </c>
      <c r="X90" s="30">
        <f>COUNTIFS('AT. MEDICAS 2024'!$A$9:$A$874,"22/04/2025",'AT. MEDICAS 2024'!$I$9:$I$874,B90)</f>
        <v>0</v>
      </c>
      <c r="Y90" s="30">
        <f>COUNTIFS('AT. MEDICAS 2024'!$A$9:$A$874,"23/04/2025",'AT. MEDICAS 2024'!$I$9:$I$874,B90)</f>
        <v>0</v>
      </c>
      <c r="Z90" s="30">
        <f>COUNTIFS('AT. MEDICAS 2024'!$A$9:$A$874,"24/04/2025",'AT. MEDICAS 2024'!$I$9:$I$874,B90)</f>
        <v>0</v>
      </c>
      <c r="AA90" s="30">
        <f>COUNTIFS('AT. MEDICAS 2024'!$A$9:$A$874,"25/04/2025",'AT. MEDICAS 2024'!$I$9:$I$874,B90)</f>
        <v>0</v>
      </c>
      <c r="AB90" s="30">
        <f>COUNTIFS('AT. MEDICAS 2024'!$A$9:$A$874,"26/04/2025",'AT. MEDICAS 2024'!$I$9:$I$874,B90)</f>
        <v>0</v>
      </c>
      <c r="AC90" s="30">
        <f>COUNTIFS('AT. MEDICAS 2024'!$A$9:$A$874,"27/04/2025",'AT. MEDICAS 2024'!$I$9:$I$874,B90)</f>
        <v>0</v>
      </c>
      <c r="AD90" s="30">
        <f>COUNTIFS('AT. MEDICAS 2024'!$A$9:$A$874,"28/04/2025",'AT. MEDICAS 2024'!$I$9:$I$874,B90)</f>
        <v>0</v>
      </c>
      <c r="AE90" s="30">
        <f>COUNTIFS('AT. MEDICAS 2024'!$A$9:$A$874,"29/04/2025",'AT. MEDICAS 2024'!$I$9:$I$874,B90)</f>
        <v>0</v>
      </c>
      <c r="AF90" s="30">
        <f>COUNTIFS('AT. MEDICAS 2024'!$A$9:$A$874,"30/04/2025",'AT. MEDICAS 2024'!$I$9:$I$874,B90)</f>
        <v>0</v>
      </c>
      <c r="AG90" s="30"/>
      <c r="AH90" s="55">
        <f t="shared" si="17"/>
        <v>0</v>
      </c>
    </row>
    <row r="91" spans="1:34" ht="13.8" thickBot="1" x14ac:dyDescent="0.3">
      <c r="A91" s="41">
        <v>6</v>
      </c>
      <c r="B91" s="54" t="s">
        <v>46</v>
      </c>
      <c r="C91" s="30">
        <f>COUNTIFS('AT. MEDICAS 2024'!$A$9:$A$874,"01/04/2025",'AT. MEDICAS 2024'!$I$9:$I$874,B91)</f>
        <v>0</v>
      </c>
      <c r="D91" s="30">
        <f>COUNTIFS('AT. MEDICAS 2024'!$A$9:$A$874,"02/04/2025",'AT. MEDICAS 2024'!$I$9:$I$874,B91)</f>
        <v>0</v>
      </c>
      <c r="E91" s="30">
        <f>COUNTIFS('AT. MEDICAS 2024'!$A$9:$A$874,"03/04/2025",'AT. MEDICAS 2024'!$I$9:$I$874,B91)</f>
        <v>0</v>
      </c>
      <c r="F91" s="30">
        <f>COUNTIFS('AT. MEDICAS 2024'!$A$9:$A$874,"04/04/2025",'AT. MEDICAS 2024'!$I$9:$I$874,B91)</f>
        <v>0</v>
      </c>
      <c r="G91" s="30">
        <f>COUNTIFS('AT. MEDICAS 2024'!$A$9:$A$874,"05/04/2025",'AT. MEDICAS 2024'!$I$9:$I$874,B91)</f>
        <v>0</v>
      </c>
      <c r="H91" s="30">
        <f>COUNTIFS('AT. MEDICAS 2024'!$A$9:$A$874,"06/04/2025",'AT. MEDICAS 2024'!$I$9:$I$874,B91)</f>
        <v>0</v>
      </c>
      <c r="I91" s="30">
        <f>COUNTIFS('AT. MEDICAS 2024'!$A$9:$A$874,"07/04/2025",'AT. MEDICAS 2024'!$I$9:$I$874,B91)</f>
        <v>0</v>
      </c>
      <c r="J91" s="30">
        <f>COUNTIFS('AT. MEDICAS 2024'!$A$9:$A$874,"08/04/2025",'AT. MEDICAS 2024'!$I$9:$I$874,B91)</f>
        <v>0</v>
      </c>
      <c r="K91" s="30">
        <f>COUNTIFS('AT. MEDICAS 2024'!$A$9:$A$874,"09/04/2025",'AT. MEDICAS 2024'!$I$9:$I$874,B91)</f>
        <v>0</v>
      </c>
      <c r="L91" s="30">
        <f>COUNTIFS('AT. MEDICAS 2024'!$A$9:$A$874,"10/04/2025",'AT. MEDICAS 2024'!$I$9:$I$874,B91)</f>
        <v>0</v>
      </c>
      <c r="M91" s="30">
        <f>COUNTIFS('AT. MEDICAS 2024'!$A$9:$A$874,"11/04/2025",'AT. MEDICAS 2024'!$I$9:$I$874,B91)</f>
        <v>0</v>
      </c>
      <c r="N91" s="30">
        <f>COUNTIFS('AT. MEDICAS 2024'!$A$9:$A$874,"12/04/2025",'AT. MEDICAS 2024'!$I$9:$I$874,B91)</f>
        <v>0</v>
      </c>
      <c r="O91" s="30">
        <f>COUNTIFS('AT. MEDICAS 2024'!$A$9:$A$874,"13/04/2025",'AT. MEDICAS 2024'!$I$9:$I$874,B91)</f>
        <v>0</v>
      </c>
      <c r="P91" s="30">
        <f>COUNTIFS('AT. MEDICAS 2024'!$A$9:$A$874,"14/04/2025",'AT. MEDICAS 2024'!$I$9:$I$874,B91)</f>
        <v>0</v>
      </c>
      <c r="Q91" s="30">
        <f>COUNTIFS('AT. MEDICAS 2024'!$A$9:$A$874,"15/04/2025",'AT. MEDICAS 2024'!$I$9:$I$874,B91)</f>
        <v>0</v>
      </c>
      <c r="R91" s="30">
        <f>COUNTIFS('AT. MEDICAS 2024'!$A$9:$A$874,"16/04/2025",'AT. MEDICAS 2024'!$I$9:$I$874,B91)</f>
        <v>0</v>
      </c>
      <c r="S91" s="30">
        <f>COUNTIFS('AT. MEDICAS 2024'!$A$9:$A$874,"17/04/2025",'AT. MEDICAS 2024'!$I$9:$I$874,B91)</f>
        <v>0</v>
      </c>
      <c r="T91" s="30">
        <f>COUNTIFS('AT. MEDICAS 2024'!$A$9:$A$874,"18/04/2025",'AT. MEDICAS 2024'!$I$9:$I$874,B91)</f>
        <v>0</v>
      </c>
      <c r="U91" s="30">
        <f>COUNTIFS('AT. MEDICAS 2024'!$A$9:$A$874,"19/04/2025",'AT. MEDICAS 2024'!$I$9:$I$874,B91)</f>
        <v>0</v>
      </c>
      <c r="V91" s="30">
        <f>COUNTIFS('AT. MEDICAS 2024'!$A$9:$A$874,"20/04/2025",'AT. MEDICAS 2024'!$I$9:$I$874,B91)</f>
        <v>0</v>
      </c>
      <c r="W91" s="30">
        <f>COUNTIFS('AT. MEDICAS 2024'!$A$9:$A$874,"21/04/2025",'AT. MEDICAS 2024'!$I$9:$I$874,B91)</f>
        <v>0</v>
      </c>
      <c r="X91" s="30">
        <f>COUNTIFS('AT. MEDICAS 2024'!$A$9:$A$874,"22/04/2025",'AT. MEDICAS 2024'!$I$9:$I$874,B91)</f>
        <v>0</v>
      </c>
      <c r="Y91" s="30">
        <f>COUNTIFS('AT. MEDICAS 2024'!$A$9:$A$874,"23/04/2025",'AT. MEDICAS 2024'!$I$9:$I$874,B91)</f>
        <v>0</v>
      </c>
      <c r="Z91" s="30">
        <f>COUNTIFS('AT. MEDICAS 2024'!$A$9:$A$874,"24/04/2025",'AT. MEDICAS 2024'!$I$9:$I$874,B91)</f>
        <v>0</v>
      </c>
      <c r="AA91" s="30">
        <f>COUNTIFS('AT. MEDICAS 2024'!$A$9:$A$874,"25/04/2025",'AT. MEDICAS 2024'!$I$9:$I$874,B91)</f>
        <v>0</v>
      </c>
      <c r="AB91" s="30">
        <f>COUNTIFS('AT. MEDICAS 2024'!$A$9:$A$874,"26/04/2025",'AT. MEDICAS 2024'!$I$9:$I$874,B91)</f>
        <v>0</v>
      </c>
      <c r="AC91" s="30">
        <f>COUNTIFS('AT. MEDICAS 2024'!$A$9:$A$874,"27/04/2025",'AT. MEDICAS 2024'!$I$9:$I$874,B91)</f>
        <v>0</v>
      </c>
      <c r="AD91" s="30">
        <f>COUNTIFS('AT. MEDICAS 2024'!$A$9:$A$874,"28/04/2025",'AT. MEDICAS 2024'!$I$9:$I$874,B91)</f>
        <v>0</v>
      </c>
      <c r="AE91" s="30">
        <f>COUNTIFS('AT. MEDICAS 2024'!$A$9:$A$874,"29/04/2025",'AT. MEDICAS 2024'!$I$9:$I$874,B91)</f>
        <v>0</v>
      </c>
      <c r="AF91" s="30">
        <f>COUNTIFS('AT. MEDICAS 2024'!$A$9:$A$874,"30/04/2025",'AT. MEDICAS 2024'!$I$9:$I$874,B91)</f>
        <v>0</v>
      </c>
      <c r="AG91" s="30"/>
      <c r="AH91" s="55">
        <f t="shared" si="17"/>
        <v>0</v>
      </c>
    </row>
    <row r="92" spans="1:34" ht="13.8" thickBot="1" x14ac:dyDescent="0.3">
      <c r="A92" s="41">
        <v>7</v>
      </c>
      <c r="B92" s="54" t="s">
        <v>36</v>
      </c>
      <c r="C92" s="30">
        <f>COUNTIFS('AT. MEDICAS 2024'!$A$9:$A$874,"01/04/2025",'AT. MEDICAS 2024'!$I$9:$I$874,B92)</f>
        <v>0</v>
      </c>
      <c r="D92" s="30">
        <f>COUNTIFS('AT. MEDICAS 2024'!$A$9:$A$874,"02/04/2025",'AT. MEDICAS 2024'!$I$9:$I$874,B92)</f>
        <v>0</v>
      </c>
      <c r="E92" s="30">
        <f>COUNTIFS('AT. MEDICAS 2024'!$A$9:$A$874,"03/04/2025",'AT. MEDICAS 2024'!$I$9:$I$874,B92)</f>
        <v>0</v>
      </c>
      <c r="F92" s="30">
        <f>COUNTIFS('AT. MEDICAS 2024'!$A$9:$A$874,"04/04/2025",'AT. MEDICAS 2024'!$I$9:$I$874,B92)</f>
        <v>0</v>
      </c>
      <c r="G92" s="30">
        <f>COUNTIFS('AT. MEDICAS 2024'!$A$9:$A$874,"05/04/2025",'AT. MEDICAS 2024'!$I$9:$I$874,B92)</f>
        <v>0</v>
      </c>
      <c r="H92" s="30">
        <f>COUNTIFS('AT. MEDICAS 2024'!$A$9:$A$874,"06/04/2025",'AT. MEDICAS 2024'!$I$9:$I$874,B92)</f>
        <v>0</v>
      </c>
      <c r="I92" s="30">
        <f>COUNTIFS('AT. MEDICAS 2024'!$A$9:$A$874,"07/04/2025",'AT. MEDICAS 2024'!$I$9:$I$874,B92)</f>
        <v>0</v>
      </c>
      <c r="J92" s="30">
        <f>COUNTIFS('AT. MEDICAS 2024'!$A$9:$A$874,"08/04/2025",'AT. MEDICAS 2024'!$I$9:$I$874,B92)</f>
        <v>0</v>
      </c>
      <c r="K92" s="30">
        <f>COUNTIFS('AT. MEDICAS 2024'!$A$9:$A$874,"09/04/2025",'AT. MEDICAS 2024'!$I$9:$I$874,B92)</f>
        <v>0</v>
      </c>
      <c r="L92" s="30">
        <f>COUNTIFS('AT. MEDICAS 2024'!$A$9:$A$874,"10/04/2025",'AT. MEDICAS 2024'!$I$9:$I$874,B92)</f>
        <v>0</v>
      </c>
      <c r="M92" s="30">
        <f>COUNTIFS('AT. MEDICAS 2024'!$A$9:$A$874,"11/04/2025",'AT. MEDICAS 2024'!$I$9:$I$874,B92)</f>
        <v>0</v>
      </c>
      <c r="N92" s="30">
        <f>COUNTIFS('AT. MEDICAS 2024'!$A$9:$A$874,"12/04/2025",'AT. MEDICAS 2024'!$I$9:$I$874,B92)</f>
        <v>0</v>
      </c>
      <c r="O92" s="30">
        <f>COUNTIFS('AT. MEDICAS 2024'!$A$9:$A$874,"13/04/2025",'AT. MEDICAS 2024'!$I$9:$I$874,B92)</f>
        <v>0</v>
      </c>
      <c r="P92" s="30">
        <f>COUNTIFS('AT. MEDICAS 2024'!$A$9:$A$874,"14/04/2025",'AT. MEDICAS 2024'!$I$9:$I$874,B92)</f>
        <v>0</v>
      </c>
      <c r="Q92" s="30">
        <f>COUNTIFS('AT. MEDICAS 2024'!$A$9:$A$874,"15/04/2025",'AT. MEDICAS 2024'!$I$9:$I$874,B92)</f>
        <v>0</v>
      </c>
      <c r="R92" s="30">
        <f>COUNTIFS('AT. MEDICAS 2024'!$A$9:$A$874,"16/04/2025",'AT. MEDICAS 2024'!$I$9:$I$874,B92)</f>
        <v>0</v>
      </c>
      <c r="S92" s="30">
        <f>COUNTIFS('AT. MEDICAS 2024'!$A$9:$A$874,"17/04/2025",'AT. MEDICAS 2024'!$I$9:$I$874,B92)</f>
        <v>0</v>
      </c>
      <c r="T92" s="30">
        <f>COUNTIFS('AT. MEDICAS 2024'!$A$9:$A$874,"18/04/2025",'AT. MEDICAS 2024'!$I$9:$I$874,B92)</f>
        <v>0</v>
      </c>
      <c r="U92" s="30">
        <f>COUNTIFS('AT. MEDICAS 2024'!$A$9:$A$874,"19/04/2025",'AT. MEDICAS 2024'!$I$9:$I$874,B92)</f>
        <v>0</v>
      </c>
      <c r="V92" s="30">
        <f>COUNTIFS('AT. MEDICAS 2024'!$A$9:$A$874,"20/04/2025",'AT. MEDICAS 2024'!$I$9:$I$874,B92)</f>
        <v>0</v>
      </c>
      <c r="W92" s="30">
        <f>COUNTIFS('AT. MEDICAS 2024'!$A$9:$A$874,"21/04/2025",'AT. MEDICAS 2024'!$I$9:$I$874,B92)</f>
        <v>0</v>
      </c>
      <c r="X92" s="30">
        <f>COUNTIFS('AT. MEDICAS 2024'!$A$9:$A$874,"22/04/2025",'AT. MEDICAS 2024'!$I$9:$I$874,B92)</f>
        <v>0</v>
      </c>
      <c r="Y92" s="30">
        <f>COUNTIFS('AT. MEDICAS 2024'!$A$9:$A$874,"23/04/2025",'AT. MEDICAS 2024'!$I$9:$I$874,B92)</f>
        <v>0</v>
      </c>
      <c r="Z92" s="30">
        <f>COUNTIFS('AT. MEDICAS 2024'!$A$9:$A$874,"24/04/2025",'AT. MEDICAS 2024'!$I$9:$I$874,B92)</f>
        <v>0</v>
      </c>
      <c r="AA92" s="30">
        <f>COUNTIFS('AT. MEDICAS 2024'!$A$9:$A$874,"25/04/2025",'AT. MEDICAS 2024'!$I$9:$I$874,B92)</f>
        <v>0</v>
      </c>
      <c r="AB92" s="30">
        <f>COUNTIFS('AT. MEDICAS 2024'!$A$9:$A$874,"26/04/2025",'AT. MEDICAS 2024'!$I$9:$I$874,B92)</f>
        <v>0</v>
      </c>
      <c r="AC92" s="30">
        <f>COUNTIFS('AT. MEDICAS 2024'!$A$9:$A$874,"27/04/2025",'AT. MEDICAS 2024'!$I$9:$I$874,B92)</f>
        <v>0</v>
      </c>
      <c r="AD92" s="30">
        <f>COUNTIFS('AT. MEDICAS 2024'!$A$9:$A$874,"28/04/2025",'AT. MEDICAS 2024'!$I$9:$I$874,B92)</f>
        <v>0</v>
      </c>
      <c r="AE92" s="30">
        <f>COUNTIFS('AT. MEDICAS 2024'!$A$9:$A$874,"29/04/2025",'AT. MEDICAS 2024'!$I$9:$I$874,B92)</f>
        <v>0</v>
      </c>
      <c r="AF92" s="30">
        <f>COUNTIFS('AT. MEDICAS 2024'!$A$9:$A$874,"30/04/2025",'AT. MEDICAS 2024'!$I$9:$I$874,B92)</f>
        <v>0</v>
      </c>
      <c r="AG92" s="30"/>
      <c r="AH92" s="55">
        <f t="shared" si="17"/>
        <v>0</v>
      </c>
    </row>
    <row r="93" spans="1:34" ht="13.8" thickBot="1" x14ac:dyDescent="0.3">
      <c r="A93" s="41">
        <v>8</v>
      </c>
      <c r="B93" s="54" t="s">
        <v>92</v>
      </c>
      <c r="C93" s="30">
        <f>COUNTIFS('AT. MEDICAS 2024'!$A$9:$A$874,"01/04/2025",'AT. MEDICAS 2024'!$I$9:$I$874,B93)</f>
        <v>0</v>
      </c>
      <c r="D93" s="30">
        <f>COUNTIFS('AT. MEDICAS 2024'!$A$9:$A$874,"02/04/2025",'AT. MEDICAS 2024'!$I$9:$I$874,B93)</f>
        <v>0</v>
      </c>
      <c r="E93" s="30">
        <f>COUNTIFS('AT. MEDICAS 2024'!$A$9:$A$874,"03/04/2025",'AT. MEDICAS 2024'!$I$9:$I$874,B93)</f>
        <v>0</v>
      </c>
      <c r="F93" s="30">
        <f>COUNTIFS('AT. MEDICAS 2024'!$A$9:$A$874,"04/04/2025",'AT. MEDICAS 2024'!$I$9:$I$874,B93)</f>
        <v>0</v>
      </c>
      <c r="G93" s="30">
        <f>COUNTIFS('AT. MEDICAS 2024'!$A$9:$A$874,"05/04/2025",'AT. MEDICAS 2024'!$I$9:$I$874,B93)</f>
        <v>0</v>
      </c>
      <c r="H93" s="30">
        <f>COUNTIFS('AT. MEDICAS 2024'!$A$9:$A$874,"06/04/2025",'AT. MEDICAS 2024'!$I$9:$I$874,B93)</f>
        <v>0</v>
      </c>
      <c r="I93" s="30">
        <f>COUNTIFS('AT. MEDICAS 2024'!$A$9:$A$874,"07/04/2025",'AT. MEDICAS 2024'!$I$9:$I$874,B93)</f>
        <v>0</v>
      </c>
      <c r="J93" s="30">
        <f>COUNTIFS('AT. MEDICAS 2024'!$A$9:$A$874,"08/04/2025",'AT. MEDICAS 2024'!$I$9:$I$874,B93)</f>
        <v>0</v>
      </c>
      <c r="K93" s="30">
        <f>COUNTIFS('AT. MEDICAS 2024'!$A$9:$A$874,"09/04/2025",'AT. MEDICAS 2024'!$I$9:$I$874,B93)</f>
        <v>0</v>
      </c>
      <c r="L93" s="30">
        <f>COUNTIFS('AT. MEDICAS 2024'!$A$9:$A$874,"10/04/2025",'AT. MEDICAS 2024'!$I$9:$I$874,B93)</f>
        <v>0</v>
      </c>
      <c r="M93" s="30">
        <f>COUNTIFS('AT. MEDICAS 2024'!$A$9:$A$874,"11/04/2025",'AT. MEDICAS 2024'!$I$9:$I$874,B93)</f>
        <v>0</v>
      </c>
      <c r="N93" s="30">
        <f>COUNTIFS('AT. MEDICAS 2024'!$A$9:$A$874,"12/04/2025",'AT. MEDICAS 2024'!$I$9:$I$874,B93)</f>
        <v>0</v>
      </c>
      <c r="O93" s="30">
        <f>COUNTIFS('AT. MEDICAS 2024'!$A$9:$A$874,"13/04/2025",'AT. MEDICAS 2024'!$I$9:$I$874,B93)</f>
        <v>0</v>
      </c>
      <c r="P93" s="30">
        <f>COUNTIFS('AT. MEDICAS 2024'!$A$9:$A$874,"14/04/2025",'AT. MEDICAS 2024'!$I$9:$I$874,B93)</f>
        <v>0</v>
      </c>
      <c r="Q93" s="30">
        <f>COUNTIFS('AT. MEDICAS 2024'!$A$9:$A$874,"15/04/2025",'AT. MEDICAS 2024'!$I$9:$I$874,B93)</f>
        <v>0</v>
      </c>
      <c r="R93" s="30">
        <f>COUNTIFS('AT. MEDICAS 2024'!$A$9:$A$874,"16/04/2025",'AT. MEDICAS 2024'!$I$9:$I$874,B93)</f>
        <v>0</v>
      </c>
      <c r="S93" s="30">
        <f>COUNTIFS('AT. MEDICAS 2024'!$A$9:$A$874,"17/04/2025",'AT. MEDICAS 2024'!$I$9:$I$874,B93)</f>
        <v>0</v>
      </c>
      <c r="T93" s="30">
        <f>COUNTIFS('AT. MEDICAS 2024'!$A$9:$A$874,"18/04/2025",'AT. MEDICAS 2024'!$I$9:$I$874,B93)</f>
        <v>0</v>
      </c>
      <c r="U93" s="30">
        <f>COUNTIFS('AT. MEDICAS 2024'!$A$9:$A$874,"19/04/2025",'AT. MEDICAS 2024'!$I$9:$I$874,B93)</f>
        <v>0</v>
      </c>
      <c r="V93" s="30">
        <f>COUNTIFS('AT. MEDICAS 2024'!$A$9:$A$874,"20/04/2025",'AT. MEDICAS 2024'!$I$9:$I$874,B93)</f>
        <v>0</v>
      </c>
      <c r="W93" s="30">
        <f>COUNTIFS('AT. MEDICAS 2024'!$A$9:$A$874,"21/04/2025",'AT. MEDICAS 2024'!$I$9:$I$874,B93)</f>
        <v>0</v>
      </c>
      <c r="X93" s="30">
        <f>COUNTIFS('AT. MEDICAS 2024'!$A$9:$A$874,"22/04/2025",'AT. MEDICAS 2024'!$I$9:$I$874,B93)</f>
        <v>0</v>
      </c>
      <c r="Y93" s="30">
        <f>COUNTIFS('AT. MEDICAS 2024'!$A$9:$A$874,"23/04/2025",'AT. MEDICAS 2024'!$I$9:$I$874,B93)</f>
        <v>0</v>
      </c>
      <c r="Z93" s="30">
        <f>COUNTIFS('AT. MEDICAS 2024'!$A$9:$A$874,"24/04/2025",'AT. MEDICAS 2024'!$I$9:$I$874,B93)</f>
        <v>0</v>
      </c>
      <c r="AA93" s="30">
        <f>COUNTIFS('AT. MEDICAS 2024'!$A$9:$A$874,"25/04/2025",'AT. MEDICAS 2024'!$I$9:$I$874,B93)</f>
        <v>0</v>
      </c>
      <c r="AB93" s="30">
        <f>COUNTIFS('AT. MEDICAS 2024'!$A$9:$A$874,"26/04/2025",'AT. MEDICAS 2024'!$I$9:$I$874,B93)</f>
        <v>0</v>
      </c>
      <c r="AC93" s="30">
        <f>COUNTIFS('AT. MEDICAS 2024'!$A$9:$A$874,"27/04/2025",'AT. MEDICAS 2024'!$I$9:$I$874,B93)</f>
        <v>0</v>
      </c>
      <c r="AD93" s="30">
        <f>COUNTIFS('AT. MEDICAS 2024'!$A$9:$A$874,"28/04/2025",'AT. MEDICAS 2024'!$I$9:$I$874,B93)</f>
        <v>0</v>
      </c>
      <c r="AE93" s="30">
        <f>COUNTIFS('AT. MEDICAS 2024'!$A$9:$A$874,"29/04/2025",'AT. MEDICAS 2024'!$I$9:$I$874,B93)</f>
        <v>0</v>
      </c>
      <c r="AF93" s="30">
        <f>COUNTIFS('AT. MEDICAS 2024'!$A$9:$A$874,"30/04/2025",'AT. MEDICAS 2024'!$I$9:$I$874,B93)</f>
        <v>0</v>
      </c>
      <c r="AG93" s="30"/>
      <c r="AH93" s="55">
        <f t="shared" si="17"/>
        <v>0</v>
      </c>
    </row>
    <row r="94" spans="1:34" ht="13.8" thickBot="1" x14ac:dyDescent="0.3">
      <c r="A94" s="41">
        <v>9</v>
      </c>
      <c r="B94" s="54" t="s">
        <v>188</v>
      </c>
      <c r="C94" s="30">
        <f>COUNTIFS('AT. MEDICAS 2024'!$A$9:$A$874,"01/04/2025",'AT. MEDICAS 2024'!$I$9:$I$874,B94)</f>
        <v>0</v>
      </c>
      <c r="D94" s="30">
        <f>COUNTIFS('AT. MEDICAS 2024'!$A$9:$A$874,"02/04/2025",'AT. MEDICAS 2024'!$I$9:$I$874,B94)</f>
        <v>0</v>
      </c>
      <c r="E94" s="30">
        <f>COUNTIFS('AT. MEDICAS 2024'!$A$9:$A$874,"03/04/2025",'AT. MEDICAS 2024'!$I$9:$I$874,B94)</f>
        <v>0</v>
      </c>
      <c r="F94" s="30">
        <f>COUNTIFS('AT. MEDICAS 2024'!$A$9:$A$874,"04/04/2025",'AT. MEDICAS 2024'!$I$9:$I$874,B94)</f>
        <v>0</v>
      </c>
      <c r="G94" s="30">
        <f>COUNTIFS('AT. MEDICAS 2024'!$A$9:$A$874,"05/04/2025",'AT. MEDICAS 2024'!$I$9:$I$874,B94)</f>
        <v>0</v>
      </c>
      <c r="H94" s="30">
        <f>COUNTIFS('AT. MEDICAS 2024'!$A$9:$A$874,"06/04/2025",'AT. MEDICAS 2024'!$I$9:$I$874,B94)</f>
        <v>0</v>
      </c>
      <c r="I94" s="30">
        <f>COUNTIFS('AT. MEDICAS 2024'!$A$9:$A$874,"07/04/2025",'AT. MEDICAS 2024'!$I$9:$I$874,B94)</f>
        <v>0</v>
      </c>
      <c r="J94" s="30">
        <f>COUNTIFS('AT. MEDICAS 2024'!$A$9:$A$874,"08/04/2025",'AT. MEDICAS 2024'!$I$9:$I$874,B94)</f>
        <v>0</v>
      </c>
      <c r="K94" s="30">
        <f>COUNTIFS('AT. MEDICAS 2024'!$A$9:$A$874,"09/04/2025",'AT. MEDICAS 2024'!$I$9:$I$874,B94)</f>
        <v>0</v>
      </c>
      <c r="L94" s="30">
        <f>COUNTIFS('AT. MEDICAS 2024'!$A$9:$A$874,"10/04/2025",'AT. MEDICAS 2024'!$I$9:$I$874,B94)</f>
        <v>0</v>
      </c>
      <c r="M94" s="30">
        <f>COUNTIFS('AT. MEDICAS 2024'!$A$9:$A$874,"11/04/2025",'AT. MEDICAS 2024'!$I$9:$I$874,B94)</f>
        <v>0</v>
      </c>
      <c r="N94" s="30">
        <f>COUNTIFS('AT. MEDICAS 2024'!$A$9:$A$874,"12/04/2025",'AT. MEDICAS 2024'!$I$9:$I$874,B94)</f>
        <v>0</v>
      </c>
      <c r="O94" s="30">
        <f>COUNTIFS('AT. MEDICAS 2024'!$A$9:$A$874,"13/04/2025",'AT. MEDICAS 2024'!$I$9:$I$874,B94)</f>
        <v>0</v>
      </c>
      <c r="P94" s="30">
        <f>COUNTIFS('AT. MEDICAS 2024'!$A$9:$A$874,"14/04/2025",'AT. MEDICAS 2024'!$I$9:$I$874,B94)</f>
        <v>0</v>
      </c>
      <c r="Q94" s="30">
        <f>COUNTIFS('AT. MEDICAS 2024'!$A$9:$A$874,"15/04/2025",'AT. MEDICAS 2024'!$I$9:$I$874,B94)</f>
        <v>0</v>
      </c>
      <c r="R94" s="30">
        <f>COUNTIFS('AT. MEDICAS 2024'!$A$9:$A$874,"16/04/2025",'AT. MEDICAS 2024'!$I$9:$I$874,B94)</f>
        <v>0</v>
      </c>
      <c r="S94" s="30">
        <f>COUNTIFS('AT. MEDICAS 2024'!$A$9:$A$874,"17/04/2025",'AT. MEDICAS 2024'!$I$9:$I$874,B94)</f>
        <v>0</v>
      </c>
      <c r="T94" s="30">
        <f>COUNTIFS('AT. MEDICAS 2024'!$A$9:$A$874,"18/04/2025",'AT. MEDICAS 2024'!$I$9:$I$874,B94)</f>
        <v>0</v>
      </c>
      <c r="U94" s="30">
        <f>COUNTIFS('AT. MEDICAS 2024'!$A$9:$A$874,"19/04/2025",'AT. MEDICAS 2024'!$I$9:$I$874,B94)</f>
        <v>0</v>
      </c>
      <c r="V94" s="30">
        <f>COUNTIFS('AT. MEDICAS 2024'!$A$9:$A$874,"20/04/2025",'AT. MEDICAS 2024'!$I$9:$I$874,B94)</f>
        <v>0</v>
      </c>
      <c r="W94" s="30">
        <f>COUNTIFS('AT. MEDICAS 2024'!$A$9:$A$874,"21/04/2025",'AT. MEDICAS 2024'!$I$9:$I$874,B94)</f>
        <v>0</v>
      </c>
      <c r="X94" s="30">
        <f>COUNTIFS('AT. MEDICAS 2024'!$A$9:$A$874,"22/04/2025",'AT. MEDICAS 2024'!$I$9:$I$874,B94)</f>
        <v>0</v>
      </c>
      <c r="Y94" s="30">
        <f>COUNTIFS('AT. MEDICAS 2024'!$A$9:$A$874,"23/04/2025",'AT. MEDICAS 2024'!$I$9:$I$874,B94)</f>
        <v>0</v>
      </c>
      <c r="Z94" s="30">
        <f>COUNTIFS('AT. MEDICAS 2024'!$A$9:$A$874,"24/04/2025",'AT. MEDICAS 2024'!$I$9:$I$874,B94)</f>
        <v>0</v>
      </c>
      <c r="AA94" s="30">
        <f>COUNTIFS('AT. MEDICAS 2024'!$A$9:$A$874,"25/04/2025",'AT. MEDICAS 2024'!$I$9:$I$874,B94)</f>
        <v>0</v>
      </c>
      <c r="AB94" s="30">
        <f>COUNTIFS('AT. MEDICAS 2024'!$A$9:$A$874,"26/04/2025",'AT. MEDICAS 2024'!$I$9:$I$874,B94)</f>
        <v>0</v>
      </c>
      <c r="AC94" s="30">
        <f>COUNTIFS('AT. MEDICAS 2024'!$A$9:$A$874,"27/04/2025",'AT. MEDICAS 2024'!$I$9:$I$874,B94)</f>
        <v>0</v>
      </c>
      <c r="AD94" s="30">
        <f>COUNTIFS('AT. MEDICAS 2024'!$A$9:$A$874,"28/04/2025",'AT. MEDICAS 2024'!$I$9:$I$874,B94)</f>
        <v>0</v>
      </c>
      <c r="AE94" s="30">
        <f>COUNTIFS('AT. MEDICAS 2024'!$A$9:$A$874,"29/04/2025",'AT. MEDICAS 2024'!$I$9:$I$874,B94)</f>
        <v>0</v>
      </c>
      <c r="AF94" s="30">
        <f>COUNTIFS('AT. MEDICAS 2024'!$A$9:$A$874,"30/04/2025",'AT. MEDICAS 2024'!$I$9:$I$874,B94)</f>
        <v>0</v>
      </c>
      <c r="AG94" s="30"/>
      <c r="AH94" s="55">
        <f t="shared" si="17"/>
        <v>0</v>
      </c>
    </row>
    <row r="95" spans="1:34" ht="13.8" thickBot="1" x14ac:dyDescent="0.3">
      <c r="A95" s="41">
        <v>10</v>
      </c>
      <c r="B95" s="54" t="s">
        <v>97</v>
      </c>
      <c r="C95" s="30">
        <f>COUNTIFS('AT. MEDICAS 2024'!$A$9:$A$874,"01/04/2025",'AT. MEDICAS 2024'!$I$9:$I$874,B95)</f>
        <v>0</v>
      </c>
      <c r="D95" s="30">
        <f>COUNTIFS('AT. MEDICAS 2024'!$A$9:$A$874,"02/04/2025",'AT. MEDICAS 2024'!$I$9:$I$874,B95)</f>
        <v>0</v>
      </c>
      <c r="E95" s="30">
        <f>COUNTIFS('AT. MEDICAS 2024'!$A$9:$A$874,"03/04/2025",'AT. MEDICAS 2024'!$I$9:$I$874,B95)</f>
        <v>0</v>
      </c>
      <c r="F95" s="30">
        <f>COUNTIFS('AT. MEDICAS 2024'!$A$9:$A$874,"04/04/2025",'AT. MEDICAS 2024'!$I$9:$I$874,B95)</f>
        <v>0</v>
      </c>
      <c r="G95" s="30">
        <f>COUNTIFS('AT. MEDICAS 2024'!$A$9:$A$874,"05/04/2025",'AT. MEDICAS 2024'!$I$9:$I$874,B95)</f>
        <v>0</v>
      </c>
      <c r="H95" s="30">
        <f>COUNTIFS('AT. MEDICAS 2024'!$A$9:$A$874,"06/04/2025",'AT. MEDICAS 2024'!$I$9:$I$874,B95)</f>
        <v>0</v>
      </c>
      <c r="I95" s="30">
        <f>COUNTIFS('AT. MEDICAS 2024'!$A$9:$A$874,"07/04/2025",'AT. MEDICAS 2024'!$I$9:$I$874,B95)</f>
        <v>0</v>
      </c>
      <c r="J95" s="30">
        <f>COUNTIFS('AT. MEDICAS 2024'!$A$9:$A$874,"08/04/2025",'AT. MEDICAS 2024'!$I$9:$I$874,B95)</f>
        <v>0</v>
      </c>
      <c r="K95" s="30">
        <f>COUNTIFS('AT. MEDICAS 2024'!$A$9:$A$874,"09/04/2025",'AT. MEDICAS 2024'!$I$9:$I$874,B95)</f>
        <v>0</v>
      </c>
      <c r="L95" s="30">
        <f>COUNTIFS('AT. MEDICAS 2024'!$A$9:$A$874,"10/04/2025",'AT. MEDICAS 2024'!$I$9:$I$874,B95)</f>
        <v>0</v>
      </c>
      <c r="M95" s="30">
        <f>COUNTIFS('AT. MEDICAS 2024'!$A$9:$A$874,"11/04/2025",'AT. MEDICAS 2024'!$I$9:$I$874,B95)</f>
        <v>0</v>
      </c>
      <c r="N95" s="30">
        <f>COUNTIFS('AT. MEDICAS 2024'!$A$9:$A$874,"12/04/2025",'AT. MEDICAS 2024'!$I$9:$I$874,B95)</f>
        <v>0</v>
      </c>
      <c r="O95" s="30">
        <f>COUNTIFS('AT. MEDICAS 2024'!$A$9:$A$874,"13/04/2025",'AT. MEDICAS 2024'!$I$9:$I$874,B95)</f>
        <v>0</v>
      </c>
      <c r="P95" s="30">
        <f>COUNTIFS('AT. MEDICAS 2024'!$A$9:$A$874,"14/04/2025",'AT. MEDICAS 2024'!$I$9:$I$874,B95)</f>
        <v>0</v>
      </c>
      <c r="Q95" s="30">
        <f>COUNTIFS('AT. MEDICAS 2024'!$A$9:$A$874,"15/04/2025",'AT. MEDICAS 2024'!$I$9:$I$874,B95)</f>
        <v>0</v>
      </c>
      <c r="R95" s="30">
        <f>COUNTIFS('AT. MEDICAS 2024'!$A$9:$A$874,"16/04/2025",'AT. MEDICAS 2024'!$I$9:$I$874,B95)</f>
        <v>0</v>
      </c>
      <c r="S95" s="30">
        <f>COUNTIFS('AT. MEDICAS 2024'!$A$9:$A$874,"17/04/2025",'AT. MEDICAS 2024'!$I$9:$I$874,B95)</f>
        <v>0</v>
      </c>
      <c r="T95" s="30">
        <f>COUNTIFS('AT. MEDICAS 2024'!$A$9:$A$874,"18/04/2025",'AT. MEDICAS 2024'!$I$9:$I$874,B95)</f>
        <v>0</v>
      </c>
      <c r="U95" s="30">
        <f>COUNTIFS('AT. MEDICAS 2024'!$A$9:$A$874,"19/04/2025",'AT. MEDICAS 2024'!$I$9:$I$874,B95)</f>
        <v>0</v>
      </c>
      <c r="V95" s="30">
        <f>COUNTIFS('AT. MEDICAS 2024'!$A$9:$A$874,"20/04/2025",'AT. MEDICAS 2024'!$I$9:$I$874,B95)</f>
        <v>0</v>
      </c>
      <c r="W95" s="30">
        <f>COUNTIFS('AT. MEDICAS 2024'!$A$9:$A$874,"21/04/2025",'AT. MEDICAS 2024'!$I$9:$I$874,B95)</f>
        <v>0</v>
      </c>
      <c r="X95" s="30">
        <f>COUNTIFS('AT. MEDICAS 2024'!$A$9:$A$874,"22/04/2025",'AT. MEDICAS 2024'!$I$9:$I$874,B95)</f>
        <v>0</v>
      </c>
      <c r="Y95" s="30">
        <f>COUNTIFS('AT. MEDICAS 2024'!$A$9:$A$874,"23/04/2025",'AT. MEDICAS 2024'!$I$9:$I$874,B95)</f>
        <v>0</v>
      </c>
      <c r="Z95" s="30">
        <f>COUNTIFS('AT. MEDICAS 2024'!$A$9:$A$874,"24/04/2025",'AT. MEDICAS 2024'!$I$9:$I$874,B95)</f>
        <v>0</v>
      </c>
      <c r="AA95" s="30">
        <f>COUNTIFS('AT. MEDICAS 2024'!$A$9:$A$874,"25/04/2025",'AT. MEDICAS 2024'!$I$9:$I$874,B95)</f>
        <v>0</v>
      </c>
      <c r="AB95" s="30">
        <f>COUNTIFS('AT. MEDICAS 2024'!$A$9:$A$874,"26/04/2025",'AT. MEDICAS 2024'!$I$9:$I$874,B95)</f>
        <v>0</v>
      </c>
      <c r="AC95" s="30">
        <f>COUNTIFS('AT. MEDICAS 2024'!$A$9:$A$874,"27/04/2025",'AT. MEDICAS 2024'!$I$9:$I$874,B95)</f>
        <v>0</v>
      </c>
      <c r="AD95" s="30">
        <f>COUNTIFS('AT. MEDICAS 2024'!$A$9:$A$874,"28/04/2025",'AT. MEDICAS 2024'!$I$9:$I$874,B95)</f>
        <v>0</v>
      </c>
      <c r="AE95" s="30">
        <f>COUNTIFS('AT. MEDICAS 2024'!$A$9:$A$874,"29/04/2025",'AT. MEDICAS 2024'!$I$9:$I$874,B95)</f>
        <v>0</v>
      </c>
      <c r="AF95" s="30">
        <f>COUNTIFS('AT. MEDICAS 2024'!$A$9:$A$874,"30/04/2025",'AT. MEDICAS 2024'!$I$9:$I$874,B95)</f>
        <v>0</v>
      </c>
      <c r="AG95" s="30"/>
      <c r="AH95" s="55">
        <f t="shared" si="17"/>
        <v>0</v>
      </c>
    </row>
    <row r="96" spans="1:34" ht="13.8" thickBot="1" x14ac:dyDescent="0.3">
      <c r="A96" s="41">
        <v>11</v>
      </c>
      <c r="B96" s="54" t="s">
        <v>21</v>
      </c>
      <c r="C96" s="30">
        <f>COUNTIFS('AT. MEDICAS 2024'!$A$9:$A$874,"01/04/2025",'AT. MEDICAS 2024'!$I$9:$I$874,B96)</f>
        <v>0</v>
      </c>
      <c r="D96" s="30">
        <f>COUNTIFS('AT. MEDICAS 2024'!$A$9:$A$874,"02/04/2025",'AT. MEDICAS 2024'!$I$9:$I$874,B96)</f>
        <v>0</v>
      </c>
      <c r="E96" s="30">
        <f>COUNTIFS('AT. MEDICAS 2024'!$A$9:$A$874,"03/04/2025",'AT. MEDICAS 2024'!$I$9:$I$874,B96)</f>
        <v>0</v>
      </c>
      <c r="F96" s="30">
        <f>COUNTIFS('AT. MEDICAS 2024'!$A$9:$A$874,"04/04/2025",'AT. MEDICAS 2024'!$I$9:$I$874,B96)</f>
        <v>0</v>
      </c>
      <c r="G96" s="30">
        <f>COUNTIFS('AT. MEDICAS 2024'!$A$9:$A$874,"05/04/2025",'AT. MEDICAS 2024'!$I$9:$I$874,B96)</f>
        <v>0</v>
      </c>
      <c r="H96" s="30">
        <f>COUNTIFS('AT. MEDICAS 2024'!$A$9:$A$874,"06/04/2025",'AT. MEDICAS 2024'!$I$9:$I$874,B96)</f>
        <v>0</v>
      </c>
      <c r="I96" s="30">
        <f>COUNTIFS('AT. MEDICAS 2024'!$A$9:$A$874,"07/04/2025",'AT. MEDICAS 2024'!$I$9:$I$874,B96)</f>
        <v>0</v>
      </c>
      <c r="J96" s="30">
        <f>COUNTIFS('AT. MEDICAS 2024'!$A$9:$A$874,"08/04/2025",'AT. MEDICAS 2024'!$I$9:$I$874,B96)</f>
        <v>0</v>
      </c>
      <c r="K96" s="30">
        <f>COUNTIFS('AT. MEDICAS 2024'!$A$9:$A$874,"09/04/2025",'AT. MEDICAS 2024'!$I$9:$I$874,B96)</f>
        <v>0</v>
      </c>
      <c r="L96" s="30">
        <f>COUNTIFS('AT. MEDICAS 2024'!$A$9:$A$874,"10/04/2025",'AT. MEDICAS 2024'!$I$9:$I$874,B96)</f>
        <v>0</v>
      </c>
      <c r="M96" s="30">
        <f>COUNTIFS('AT. MEDICAS 2024'!$A$9:$A$874,"11/04/2025",'AT. MEDICAS 2024'!$I$9:$I$874,B96)</f>
        <v>0</v>
      </c>
      <c r="N96" s="30">
        <f>COUNTIFS('AT. MEDICAS 2024'!$A$9:$A$874,"12/04/2025",'AT. MEDICAS 2024'!$I$9:$I$874,B96)</f>
        <v>0</v>
      </c>
      <c r="O96" s="30">
        <f>COUNTIFS('AT. MEDICAS 2024'!$A$9:$A$874,"13/04/2025",'AT. MEDICAS 2024'!$I$9:$I$874,B96)</f>
        <v>0</v>
      </c>
      <c r="P96" s="30">
        <f>COUNTIFS('AT. MEDICAS 2024'!$A$9:$A$874,"14/04/2025",'AT. MEDICAS 2024'!$I$9:$I$874,B96)</f>
        <v>0</v>
      </c>
      <c r="Q96" s="30">
        <f>COUNTIFS('AT. MEDICAS 2024'!$A$9:$A$874,"15/04/2025",'AT. MEDICAS 2024'!$I$9:$I$874,B96)</f>
        <v>0</v>
      </c>
      <c r="R96" s="30">
        <f>COUNTIFS('AT. MEDICAS 2024'!$A$9:$A$874,"16/04/2025",'AT. MEDICAS 2024'!$I$9:$I$874,B96)</f>
        <v>0</v>
      </c>
      <c r="S96" s="30">
        <f>COUNTIFS('AT. MEDICAS 2024'!$A$9:$A$874,"17/04/2025",'AT. MEDICAS 2024'!$I$9:$I$874,B96)</f>
        <v>0</v>
      </c>
      <c r="T96" s="30">
        <f>COUNTIFS('AT. MEDICAS 2024'!$A$9:$A$874,"18/04/2025",'AT. MEDICAS 2024'!$I$9:$I$874,B96)</f>
        <v>0</v>
      </c>
      <c r="U96" s="30">
        <f>COUNTIFS('AT. MEDICAS 2024'!$A$9:$A$874,"19/04/2025",'AT. MEDICAS 2024'!$I$9:$I$874,B96)</f>
        <v>0</v>
      </c>
      <c r="V96" s="30">
        <f>COUNTIFS('AT. MEDICAS 2024'!$A$9:$A$874,"20/04/2025",'AT. MEDICAS 2024'!$I$9:$I$874,B96)</f>
        <v>0</v>
      </c>
      <c r="W96" s="30">
        <f>COUNTIFS('AT. MEDICAS 2024'!$A$9:$A$874,"21/04/2025",'AT. MEDICAS 2024'!$I$9:$I$874,B96)</f>
        <v>0</v>
      </c>
      <c r="X96" s="30">
        <f>COUNTIFS('AT. MEDICAS 2024'!$A$9:$A$874,"22/04/2025",'AT. MEDICAS 2024'!$I$9:$I$874,B96)</f>
        <v>0</v>
      </c>
      <c r="Y96" s="30">
        <f>COUNTIFS('AT. MEDICAS 2024'!$A$9:$A$874,"23/04/2025",'AT. MEDICAS 2024'!$I$9:$I$874,B96)</f>
        <v>0</v>
      </c>
      <c r="Z96" s="30">
        <f>COUNTIFS('AT. MEDICAS 2024'!$A$9:$A$874,"24/04/2025",'AT. MEDICAS 2024'!$I$9:$I$874,B96)</f>
        <v>0</v>
      </c>
      <c r="AA96" s="30">
        <f>COUNTIFS('AT. MEDICAS 2024'!$A$9:$A$874,"25/04/2025",'AT. MEDICAS 2024'!$I$9:$I$874,B96)</f>
        <v>0</v>
      </c>
      <c r="AB96" s="30">
        <f>COUNTIFS('AT. MEDICAS 2024'!$A$9:$A$874,"26/04/2025",'AT. MEDICAS 2024'!$I$9:$I$874,B96)</f>
        <v>0</v>
      </c>
      <c r="AC96" s="30">
        <f>COUNTIFS('AT. MEDICAS 2024'!$A$9:$A$874,"27/04/2025",'AT. MEDICAS 2024'!$I$9:$I$874,B96)</f>
        <v>0</v>
      </c>
      <c r="AD96" s="30">
        <f>COUNTIFS('AT. MEDICAS 2024'!$A$9:$A$874,"28/04/2025",'AT. MEDICAS 2024'!$I$9:$I$874,B96)</f>
        <v>0</v>
      </c>
      <c r="AE96" s="30">
        <f>COUNTIFS('AT. MEDICAS 2024'!$A$9:$A$874,"29/04/2025",'AT. MEDICAS 2024'!$I$9:$I$874,B96)</f>
        <v>0</v>
      </c>
      <c r="AF96" s="30">
        <f>COUNTIFS('AT. MEDICAS 2024'!$A$9:$A$874,"30/04/2025",'AT. MEDICAS 2024'!$I$9:$I$874,B96)</f>
        <v>0</v>
      </c>
      <c r="AG96" s="30"/>
      <c r="AH96" s="55">
        <f t="shared" si="17"/>
        <v>0</v>
      </c>
    </row>
    <row r="97" spans="1:34" ht="13.8" thickBot="1" x14ac:dyDescent="0.3">
      <c r="A97" s="41">
        <v>12</v>
      </c>
      <c r="B97" s="54" t="s">
        <v>23</v>
      </c>
      <c r="C97" s="30">
        <f>COUNTIFS('AT. MEDICAS 2024'!$A$9:$A$874,"01/04/2025",'AT. MEDICAS 2024'!$I$9:$I$874,B97)</f>
        <v>0</v>
      </c>
      <c r="D97" s="30">
        <f>COUNTIFS('AT. MEDICAS 2024'!$A$9:$A$874,"02/04/2025",'AT. MEDICAS 2024'!$I$9:$I$874,B97)</f>
        <v>0</v>
      </c>
      <c r="E97" s="30">
        <f>COUNTIFS('AT. MEDICAS 2024'!$A$9:$A$874,"03/04/2025",'AT. MEDICAS 2024'!$I$9:$I$874,B97)</f>
        <v>0</v>
      </c>
      <c r="F97" s="30">
        <f>COUNTIFS('AT. MEDICAS 2024'!$A$9:$A$874,"04/04/2025",'AT. MEDICAS 2024'!$I$9:$I$874,B97)</f>
        <v>0</v>
      </c>
      <c r="G97" s="30">
        <f>COUNTIFS('AT. MEDICAS 2024'!$A$9:$A$874,"05/04/2025",'AT. MEDICAS 2024'!$I$9:$I$874,B97)</f>
        <v>0</v>
      </c>
      <c r="H97" s="30">
        <f>COUNTIFS('AT. MEDICAS 2024'!$A$9:$A$874,"06/04/2025",'AT. MEDICAS 2024'!$I$9:$I$874,B97)</f>
        <v>0</v>
      </c>
      <c r="I97" s="30">
        <f>COUNTIFS('AT. MEDICAS 2024'!$A$9:$A$874,"07/04/2025",'AT. MEDICAS 2024'!$I$9:$I$874,B97)</f>
        <v>0</v>
      </c>
      <c r="J97" s="30">
        <f>COUNTIFS('AT. MEDICAS 2024'!$A$9:$A$874,"08/04/2025",'AT. MEDICAS 2024'!$I$9:$I$874,B97)</f>
        <v>0</v>
      </c>
      <c r="K97" s="30">
        <f>COUNTIFS('AT. MEDICAS 2024'!$A$9:$A$874,"09/04/2025",'AT. MEDICAS 2024'!$I$9:$I$874,B97)</f>
        <v>0</v>
      </c>
      <c r="L97" s="30">
        <f>COUNTIFS('AT. MEDICAS 2024'!$A$9:$A$874,"10/04/2025",'AT. MEDICAS 2024'!$I$9:$I$874,B97)</f>
        <v>0</v>
      </c>
      <c r="M97" s="30">
        <f>COUNTIFS('AT. MEDICAS 2024'!$A$9:$A$874,"11/04/2025",'AT. MEDICAS 2024'!$I$9:$I$874,B97)</f>
        <v>0</v>
      </c>
      <c r="N97" s="30">
        <f>COUNTIFS('AT. MEDICAS 2024'!$A$9:$A$874,"12/04/2025",'AT. MEDICAS 2024'!$I$9:$I$874,B97)</f>
        <v>0</v>
      </c>
      <c r="O97" s="30">
        <f>COUNTIFS('AT. MEDICAS 2024'!$A$9:$A$874,"13/04/2025",'AT. MEDICAS 2024'!$I$9:$I$874,B97)</f>
        <v>0</v>
      </c>
      <c r="P97" s="30">
        <f>COUNTIFS('AT. MEDICAS 2024'!$A$9:$A$874,"14/04/2025",'AT. MEDICAS 2024'!$I$9:$I$874,B97)</f>
        <v>0</v>
      </c>
      <c r="Q97" s="30">
        <f>COUNTIFS('AT. MEDICAS 2024'!$A$9:$A$874,"15/04/2025",'AT. MEDICAS 2024'!$I$9:$I$874,B97)</f>
        <v>0</v>
      </c>
      <c r="R97" s="30">
        <f>COUNTIFS('AT. MEDICAS 2024'!$A$9:$A$874,"16/04/2025",'AT. MEDICAS 2024'!$I$9:$I$874,B97)</f>
        <v>0</v>
      </c>
      <c r="S97" s="30">
        <f>COUNTIFS('AT. MEDICAS 2024'!$A$9:$A$874,"17/04/2025",'AT. MEDICAS 2024'!$I$9:$I$874,B97)</f>
        <v>0</v>
      </c>
      <c r="T97" s="30">
        <f>COUNTIFS('AT. MEDICAS 2024'!$A$9:$A$874,"18/04/2025",'AT. MEDICAS 2024'!$I$9:$I$874,B97)</f>
        <v>0</v>
      </c>
      <c r="U97" s="30">
        <f>COUNTIFS('AT. MEDICAS 2024'!$A$9:$A$874,"19/04/2025",'AT. MEDICAS 2024'!$I$9:$I$874,B97)</f>
        <v>0</v>
      </c>
      <c r="V97" s="30">
        <f>COUNTIFS('AT. MEDICAS 2024'!$A$9:$A$874,"20/04/2025",'AT. MEDICAS 2024'!$I$9:$I$874,B97)</f>
        <v>0</v>
      </c>
      <c r="W97" s="30">
        <f>COUNTIFS('AT. MEDICAS 2024'!$A$9:$A$874,"21/04/2025",'AT. MEDICAS 2024'!$I$9:$I$874,B97)</f>
        <v>0</v>
      </c>
      <c r="X97" s="30">
        <f>COUNTIFS('AT. MEDICAS 2024'!$A$9:$A$874,"22/04/2025",'AT. MEDICAS 2024'!$I$9:$I$874,B97)</f>
        <v>0</v>
      </c>
      <c r="Y97" s="30">
        <f>COUNTIFS('AT. MEDICAS 2024'!$A$9:$A$874,"23/04/2025",'AT. MEDICAS 2024'!$I$9:$I$874,B97)</f>
        <v>0</v>
      </c>
      <c r="Z97" s="30">
        <f>COUNTIFS('AT. MEDICAS 2024'!$A$9:$A$874,"24/04/2025",'AT. MEDICAS 2024'!$I$9:$I$874,B97)</f>
        <v>0</v>
      </c>
      <c r="AA97" s="30">
        <f>COUNTIFS('AT. MEDICAS 2024'!$A$9:$A$874,"25/04/2025",'AT. MEDICAS 2024'!$I$9:$I$874,B97)</f>
        <v>0</v>
      </c>
      <c r="AB97" s="30">
        <f>COUNTIFS('AT. MEDICAS 2024'!$A$9:$A$874,"26/04/2025",'AT. MEDICAS 2024'!$I$9:$I$874,B97)</f>
        <v>0</v>
      </c>
      <c r="AC97" s="30">
        <f>COUNTIFS('AT. MEDICAS 2024'!$A$9:$A$874,"27/04/2025",'AT. MEDICAS 2024'!$I$9:$I$874,B97)</f>
        <v>0</v>
      </c>
      <c r="AD97" s="30">
        <f>COUNTIFS('AT. MEDICAS 2024'!$A$9:$A$874,"28/04/2025",'AT. MEDICAS 2024'!$I$9:$I$874,B97)</f>
        <v>0</v>
      </c>
      <c r="AE97" s="30">
        <f>COUNTIFS('AT. MEDICAS 2024'!$A$9:$A$874,"29/04/2025",'AT. MEDICAS 2024'!$I$9:$I$874,B97)</f>
        <v>0</v>
      </c>
      <c r="AF97" s="30">
        <f>COUNTIFS('AT. MEDICAS 2024'!$A$9:$A$874,"30/04/2025",'AT. MEDICAS 2024'!$I$9:$I$874,B97)</f>
        <v>0</v>
      </c>
      <c r="AG97" s="30"/>
      <c r="AH97" s="55">
        <f t="shared" si="17"/>
        <v>0</v>
      </c>
    </row>
    <row r="98" spans="1:34" ht="13.8" thickBot="1" x14ac:dyDescent="0.3">
      <c r="A98" s="41">
        <v>13</v>
      </c>
      <c r="B98" s="54" t="s">
        <v>57</v>
      </c>
      <c r="C98" s="30">
        <f>COUNTIFS('AT. MEDICAS 2024'!$A$9:$A$874,"01/04/2025",'AT. MEDICAS 2024'!$I$9:$I$874,B98)</f>
        <v>0</v>
      </c>
      <c r="D98" s="30">
        <f>COUNTIFS('AT. MEDICAS 2024'!$A$9:$A$874,"02/04/2025",'AT. MEDICAS 2024'!$I$9:$I$874,B98)</f>
        <v>0</v>
      </c>
      <c r="E98" s="30">
        <f>COUNTIFS('AT. MEDICAS 2024'!$A$9:$A$874,"03/04/2025",'AT. MEDICAS 2024'!$I$9:$I$874,B98)</f>
        <v>0</v>
      </c>
      <c r="F98" s="30">
        <f>COUNTIFS('AT. MEDICAS 2024'!$A$9:$A$874,"04/04/2025",'AT. MEDICAS 2024'!$I$9:$I$874,B98)</f>
        <v>0</v>
      </c>
      <c r="G98" s="30">
        <f>COUNTIFS('AT. MEDICAS 2024'!$A$9:$A$874,"05/04/2025",'AT. MEDICAS 2024'!$I$9:$I$874,B98)</f>
        <v>0</v>
      </c>
      <c r="H98" s="30">
        <f>COUNTIFS('AT. MEDICAS 2024'!$A$9:$A$874,"06/04/2025",'AT. MEDICAS 2024'!$I$9:$I$874,B98)</f>
        <v>0</v>
      </c>
      <c r="I98" s="30">
        <f>COUNTIFS('AT. MEDICAS 2024'!$A$9:$A$874,"07/04/2025",'AT. MEDICAS 2024'!$I$9:$I$874,B98)</f>
        <v>0</v>
      </c>
      <c r="J98" s="30">
        <f>COUNTIFS('AT. MEDICAS 2024'!$A$9:$A$874,"08/04/2025",'AT. MEDICAS 2024'!$I$9:$I$874,B98)</f>
        <v>0</v>
      </c>
      <c r="K98" s="30">
        <f>COUNTIFS('AT. MEDICAS 2024'!$A$9:$A$874,"09/04/2025",'AT. MEDICAS 2024'!$I$9:$I$874,B98)</f>
        <v>0</v>
      </c>
      <c r="L98" s="30">
        <f>COUNTIFS('AT. MEDICAS 2024'!$A$9:$A$874,"10/04/2025",'AT. MEDICAS 2024'!$I$9:$I$874,B98)</f>
        <v>0</v>
      </c>
      <c r="M98" s="30">
        <f>COUNTIFS('AT. MEDICAS 2024'!$A$9:$A$874,"11/04/2025",'AT. MEDICAS 2024'!$I$9:$I$874,B98)</f>
        <v>0</v>
      </c>
      <c r="N98" s="30">
        <f>COUNTIFS('AT. MEDICAS 2024'!$A$9:$A$874,"12/04/2025",'AT. MEDICAS 2024'!$I$9:$I$874,B98)</f>
        <v>0</v>
      </c>
      <c r="O98" s="30">
        <f>COUNTIFS('AT. MEDICAS 2024'!$A$9:$A$874,"13/04/2025",'AT. MEDICAS 2024'!$I$9:$I$874,B98)</f>
        <v>0</v>
      </c>
      <c r="P98" s="30">
        <f>COUNTIFS('AT. MEDICAS 2024'!$A$9:$A$874,"14/04/2025",'AT. MEDICAS 2024'!$I$9:$I$874,B98)</f>
        <v>0</v>
      </c>
      <c r="Q98" s="30">
        <f>COUNTIFS('AT. MEDICAS 2024'!$A$9:$A$874,"15/04/2025",'AT. MEDICAS 2024'!$I$9:$I$874,B98)</f>
        <v>0</v>
      </c>
      <c r="R98" s="30">
        <f>COUNTIFS('AT. MEDICAS 2024'!$A$9:$A$874,"16/04/2025",'AT. MEDICAS 2024'!$I$9:$I$874,B98)</f>
        <v>0</v>
      </c>
      <c r="S98" s="30">
        <f>COUNTIFS('AT. MEDICAS 2024'!$A$9:$A$874,"17/04/2025",'AT. MEDICAS 2024'!$I$9:$I$874,B98)</f>
        <v>0</v>
      </c>
      <c r="T98" s="30">
        <f>COUNTIFS('AT. MEDICAS 2024'!$A$9:$A$874,"18/04/2025",'AT. MEDICAS 2024'!$I$9:$I$874,B98)</f>
        <v>0</v>
      </c>
      <c r="U98" s="30">
        <f>COUNTIFS('AT. MEDICAS 2024'!$A$9:$A$874,"19/04/2025",'AT. MEDICAS 2024'!$I$9:$I$874,B98)</f>
        <v>0</v>
      </c>
      <c r="V98" s="30">
        <f>COUNTIFS('AT. MEDICAS 2024'!$A$9:$A$874,"20/04/2025",'AT. MEDICAS 2024'!$I$9:$I$874,B98)</f>
        <v>0</v>
      </c>
      <c r="W98" s="30">
        <f>COUNTIFS('AT. MEDICAS 2024'!$A$9:$A$874,"21/04/2025",'AT. MEDICAS 2024'!$I$9:$I$874,B98)</f>
        <v>0</v>
      </c>
      <c r="X98" s="30">
        <f>COUNTIFS('AT. MEDICAS 2024'!$A$9:$A$874,"22/04/2025",'AT. MEDICAS 2024'!$I$9:$I$874,B98)</f>
        <v>0</v>
      </c>
      <c r="Y98" s="30">
        <f>COUNTIFS('AT. MEDICAS 2024'!$A$9:$A$874,"23/04/2025",'AT. MEDICAS 2024'!$I$9:$I$874,B98)</f>
        <v>0</v>
      </c>
      <c r="Z98" s="30">
        <f>COUNTIFS('AT. MEDICAS 2024'!$A$9:$A$874,"24/04/2025",'AT. MEDICAS 2024'!$I$9:$I$874,B98)</f>
        <v>0</v>
      </c>
      <c r="AA98" s="30">
        <f>COUNTIFS('AT. MEDICAS 2024'!$A$9:$A$874,"25/04/2025",'AT. MEDICAS 2024'!$I$9:$I$874,B98)</f>
        <v>0</v>
      </c>
      <c r="AB98" s="30">
        <f>COUNTIFS('AT. MEDICAS 2024'!$A$9:$A$874,"26/04/2025",'AT. MEDICAS 2024'!$I$9:$I$874,B98)</f>
        <v>0</v>
      </c>
      <c r="AC98" s="30">
        <f>COUNTIFS('AT. MEDICAS 2024'!$A$9:$A$874,"27/04/2025",'AT. MEDICAS 2024'!$I$9:$I$874,B98)</f>
        <v>0</v>
      </c>
      <c r="AD98" s="30">
        <f>COUNTIFS('AT. MEDICAS 2024'!$A$9:$A$874,"28/04/2025",'AT. MEDICAS 2024'!$I$9:$I$874,B98)</f>
        <v>0</v>
      </c>
      <c r="AE98" s="30">
        <f>COUNTIFS('AT. MEDICAS 2024'!$A$9:$A$874,"29/04/2025",'AT. MEDICAS 2024'!$I$9:$I$874,B98)</f>
        <v>0</v>
      </c>
      <c r="AF98" s="30">
        <f>COUNTIFS('AT. MEDICAS 2024'!$A$9:$A$874,"30/04/2025",'AT. MEDICAS 2024'!$I$9:$I$874,B98)</f>
        <v>0</v>
      </c>
      <c r="AG98" s="30"/>
      <c r="AH98" s="55">
        <f t="shared" si="17"/>
        <v>0</v>
      </c>
    </row>
    <row r="99" spans="1:34" ht="13.8" thickBot="1" x14ac:dyDescent="0.3">
      <c r="A99" s="41">
        <v>14</v>
      </c>
      <c r="B99" s="54" t="s">
        <v>66</v>
      </c>
      <c r="C99" s="30">
        <f>COUNTIFS('AT. MEDICAS 2024'!$A$9:$A$874,"01/04/2025",'AT. MEDICAS 2024'!$I$9:$I$874,B99)</f>
        <v>0</v>
      </c>
      <c r="D99" s="30">
        <f>COUNTIFS('AT. MEDICAS 2024'!$A$9:$A$874,"02/04/2025",'AT. MEDICAS 2024'!$I$9:$I$874,B99)</f>
        <v>0</v>
      </c>
      <c r="E99" s="30">
        <f>COUNTIFS('AT. MEDICAS 2024'!$A$9:$A$874,"03/04/2025",'AT. MEDICAS 2024'!$I$9:$I$874,B99)</f>
        <v>0</v>
      </c>
      <c r="F99" s="30">
        <f>COUNTIFS('AT. MEDICAS 2024'!$A$9:$A$874,"04/04/2025",'AT. MEDICAS 2024'!$I$9:$I$874,B99)</f>
        <v>0</v>
      </c>
      <c r="G99" s="30">
        <f>COUNTIFS('AT. MEDICAS 2024'!$A$9:$A$874,"05/04/2025",'AT. MEDICAS 2024'!$I$9:$I$874,B99)</f>
        <v>0</v>
      </c>
      <c r="H99" s="30">
        <f>COUNTIFS('AT. MEDICAS 2024'!$A$9:$A$874,"06/04/2025",'AT. MEDICAS 2024'!$I$9:$I$874,B99)</f>
        <v>0</v>
      </c>
      <c r="I99" s="30">
        <f>COUNTIFS('AT. MEDICAS 2024'!$A$9:$A$874,"07/04/2025",'AT. MEDICAS 2024'!$I$9:$I$874,B99)</f>
        <v>0</v>
      </c>
      <c r="J99" s="30">
        <f>COUNTIFS('AT. MEDICAS 2024'!$A$9:$A$874,"08/04/2025",'AT. MEDICAS 2024'!$I$9:$I$874,B99)</f>
        <v>0</v>
      </c>
      <c r="K99" s="30">
        <f>COUNTIFS('AT. MEDICAS 2024'!$A$9:$A$874,"09/04/2025",'AT. MEDICAS 2024'!$I$9:$I$874,B99)</f>
        <v>0</v>
      </c>
      <c r="L99" s="30">
        <f>COUNTIFS('AT. MEDICAS 2024'!$A$9:$A$874,"10/04/2025",'AT. MEDICAS 2024'!$I$9:$I$874,B99)</f>
        <v>0</v>
      </c>
      <c r="M99" s="30">
        <f>COUNTIFS('AT. MEDICAS 2024'!$A$9:$A$874,"11/04/2025",'AT. MEDICAS 2024'!$I$9:$I$874,B99)</f>
        <v>0</v>
      </c>
      <c r="N99" s="30">
        <f>COUNTIFS('AT. MEDICAS 2024'!$A$9:$A$874,"12/04/2025",'AT. MEDICAS 2024'!$I$9:$I$874,B99)</f>
        <v>0</v>
      </c>
      <c r="O99" s="30">
        <f>COUNTIFS('AT. MEDICAS 2024'!$A$9:$A$874,"13/04/2025",'AT. MEDICAS 2024'!$I$9:$I$874,B99)</f>
        <v>0</v>
      </c>
      <c r="P99" s="30">
        <f>COUNTIFS('AT. MEDICAS 2024'!$A$9:$A$874,"14/04/2025",'AT. MEDICAS 2024'!$I$9:$I$874,B99)</f>
        <v>0</v>
      </c>
      <c r="Q99" s="30">
        <f>COUNTIFS('AT. MEDICAS 2024'!$A$9:$A$874,"15/04/2025",'AT. MEDICAS 2024'!$I$9:$I$874,B99)</f>
        <v>0</v>
      </c>
      <c r="R99" s="30">
        <f>COUNTIFS('AT. MEDICAS 2024'!$A$9:$A$874,"16/04/2025",'AT. MEDICAS 2024'!$I$9:$I$874,B99)</f>
        <v>0</v>
      </c>
      <c r="S99" s="30">
        <f>COUNTIFS('AT. MEDICAS 2024'!$A$9:$A$874,"17/04/2025",'AT. MEDICAS 2024'!$I$9:$I$874,B99)</f>
        <v>0</v>
      </c>
      <c r="T99" s="30">
        <f>COUNTIFS('AT. MEDICAS 2024'!$A$9:$A$874,"18/04/2025",'AT. MEDICAS 2024'!$I$9:$I$874,B99)</f>
        <v>0</v>
      </c>
      <c r="U99" s="30">
        <f>COUNTIFS('AT. MEDICAS 2024'!$A$9:$A$874,"19/04/2025",'AT. MEDICAS 2024'!$I$9:$I$874,B99)</f>
        <v>0</v>
      </c>
      <c r="V99" s="30">
        <f>COUNTIFS('AT. MEDICAS 2024'!$A$9:$A$874,"20/04/2025",'AT. MEDICAS 2024'!$I$9:$I$874,B99)</f>
        <v>0</v>
      </c>
      <c r="W99" s="30">
        <f>COUNTIFS('AT. MEDICAS 2024'!$A$9:$A$874,"21/04/2025",'AT. MEDICAS 2024'!$I$9:$I$874,B99)</f>
        <v>0</v>
      </c>
      <c r="X99" s="30">
        <f>COUNTIFS('AT. MEDICAS 2024'!$A$9:$A$874,"22/04/2025",'AT. MEDICAS 2024'!$I$9:$I$874,B99)</f>
        <v>0</v>
      </c>
      <c r="Y99" s="30">
        <f>COUNTIFS('AT. MEDICAS 2024'!$A$9:$A$874,"23/04/2025",'AT. MEDICAS 2024'!$I$9:$I$874,B99)</f>
        <v>0</v>
      </c>
      <c r="Z99" s="30">
        <f>COUNTIFS('AT. MEDICAS 2024'!$A$9:$A$874,"24/04/2025",'AT. MEDICAS 2024'!$I$9:$I$874,B99)</f>
        <v>0</v>
      </c>
      <c r="AA99" s="30">
        <f>COUNTIFS('AT. MEDICAS 2024'!$A$9:$A$874,"25/04/2025",'AT. MEDICAS 2024'!$I$9:$I$874,B99)</f>
        <v>0</v>
      </c>
      <c r="AB99" s="30">
        <f>COUNTIFS('AT. MEDICAS 2024'!$A$9:$A$874,"26/04/2025",'AT. MEDICAS 2024'!$I$9:$I$874,B99)</f>
        <v>0</v>
      </c>
      <c r="AC99" s="30">
        <f>COUNTIFS('AT. MEDICAS 2024'!$A$9:$A$874,"27/04/2025",'AT. MEDICAS 2024'!$I$9:$I$874,B99)</f>
        <v>0</v>
      </c>
      <c r="AD99" s="30">
        <f>COUNTIFS('AT. MEDICAS 2024'!$A$9:$A$874,"28/04/2025",'AT. MEDICAS 2024'!$I$9:$I$874,B99)</f>
        <v>0</v>
      </c>
      <c r="AE99" s="30">
        <f>COUNTIFS('AT. MEDICAS 2024'!$A$9:$A$874,"29/04/2025",'AT. MEDICAS 2024'!$I$9:$I$874,B99)</f>
        <v>0</v>
      </c>
      <c r="AF99" s="30">
        <f>COUNTIFS('AT. MEDICAS 2024'!$A$9:$A$874,"30/04/2025",'AT. MEDICAS 2024'!$I$9:$I$874,B99)</f>
        <v>0</v>
      </c>
      <c r="AG99" s="30"/>
      <c r="AH99" s="55">
        <f t="shared" si="17"/>
        <v>0</v>
      </c>
    </row>
    <row r="100" spans="1:34" ht="13.8" thickBot="1" x14ac:dyDescent="0.3">
      <c r="A100" s="41">
        <v>15</v>
      </c>
      <c r="B100" s="54" t="s">
        <v>189</v>
      </c>
      <c r="C100" s="30">
        <f>COUNTIFS('AT. MEDICAS 2024'!$A$9:$A$874,"01/04/2025",'AT. MEDICAS 2024'!$I$9:$I$874,B100)</f>
        <v>0</v>
      </c>
      <c r="D100" s="30">
        <f>COUNTIFS('AT. MEDICAS 2024'!$A$9:$A$874,"02/04/2025",'AT. MEDICAS 2024'!$I$9:$I$874,B100)</f>
        <v>0</v>
      </c>
      <c r="E100" s="30">
        <f>COUNTIFS('AT. MEDICAS 2024'!$A$9:$A$874,"03/04/2025",'AT. MEDICAS 2024'!$I$9:$I$874,B100)</f>
        <v>0</v>
      </c>
      <c r="F100" s="30">
        <f>COUNTIFS('AT. MEDICAS 2024'!$A$9:$A$874,"04/04/2025",'AT. MEDICAS 2024'!$I$9:$I$874,B100)</f>
        <v>0</v>
      </c>
      <c r="G100" s="30">
        <f>COUNTIFS('AT. MEDICAS 2024'!$A$9:$A$874,"05/04/2025",'AT. MEDICAS 2024'!$I$9:$I$874,B100)</f>
        <v>0</v>
      </c>
      <c r="H100" s="30">
        <f>COUNTIFS('AT. MEDICAS 2024'!$A$9:$A$874,"06/04/2025",'AT. MEDICAS 2024'!$I$9:$I$874,B100)</f>
        <v>0</v>
      </c>
      <c r="I100" s="30">
        <f>COUNTIFS('AT. MEDICAS 2024'!$A$9:$A$874,"07/04/2025",'AT. MEDICAS 2024'!$I$9:$I$874,B100)</f>
        <v>0</v>
      </c>
      <c r="J100" s="30">
        <f>COUNTIFS('AT. MEDICAS 2024'!$A$9:$A$874,"08/04/2025",'AT. MEDICAS 2024'!$I$9:$I$874,B100)</f>
        <v>0</v>
      </c>
      <c r="K100" s="30">
        <f>COUNTIFS('AT. MEDICAS 2024'!$A$9:$A$874,"09/04/2025",'AT. MEDICAS 2024'!$I$9:$I$874,B100)</f>
        <v>0</v>
      </c>
      <c r="L100" s="30">
        <f>COUNTIFS('AT. MEDICAS 2024'!$A$9:$A$874,"10/04/2025",'AT. MEDICAS 2024'!$I$9:$I$874,B100)</f>
        <v>0</v>
      </c>
      <c r="M100" s="30">
        <f>COUNTIFS('AT. MEDICAS 2024'!$A$9:$A$874,"11/04/2025",'AT. MEDICAS 2024'!$I$9:$I$874,B100)</f>
        <v>0</v>
      </c>
      <c r="N100" s="30">
        <f>COUNTIFS('AT. MEDICAS 2024'!$A$9:$A$874,"12/04/2025",'AT. MEDICAS 2024'!$I$9:$I$874,B100)</f>
        <v>0</v>
      </c>
      <c r="O100" s="30">
        <f>COUNTIFS('AT. MEDICAS 2024'!$A$9:$A$874,"13/04/2025",'AT. MEDICAS 2024'!$I$9:$I$874,B100)</f>
        <v>0</v>
      </c>
      <c r="P100" s="30">
        <f>COUNTIFS('AT. MEDICAS 2024'!$A$9:$A$874,"14/04/2025",'AT. MEDICAS 2024'!$I$9:$I$874,B100)</f>
        <v>0</v>
      </c>
      <c r="Q100" s="30">
        <f>COUNTIFS('AT. MEDICAS 2024'!$A$9:$A$874,"15/04/2025",'AT. MEDICAS 2024'!$I$9:$I$874,B100)</f>
        <v>0</v>
      </c>
      <c r="R100" s="30">
        <f>COUNTIFS('AT. MEDICAS 2024'!$A$9:$A$874,"16/04/2025",'AT. MEDICAS 2024'!$I$9:$I$874,B100)</f>
        <v>0</v>
      </c>
      <c r="S100" s="30">
        <f>COUNTIFS('AT. MEDICAS 2024'!$A$9:$A$874,"17/04/2025",'AT. MEDICAS 2024'!$I$9:$I$874,B100)</f>
        <v>0</v>
      </c>
      <c r="T100" s="30">
        <f>COUNTIFS('AT. MEDICAS 2024'!$A$9:$A$874,"18/04/2025",'AT. MEDICAS 2024'!$I$9:$I$874,B100)</f>
        <v>0</v>
      </c>
      <c r="U100" s="30">
        <f>COUNTIFS('AT. MEDICAS 2024'!$A$9:$A$874,"19/04/2025",'AT. MEDICAS 2024'!$I$9:$I$874,B100)</f>
        <v>0</v>
      </c>
      <c r="V100" s="30">
        <f>COUNTIFS('AT. MEDICAS 2024'!$A$9:$A$874,"20/04/2025",'AT. MEDICAS 2024'!$I$9:$I$874,B100)</f>
        <v>0</v>
      </c>
      <c r="W100" s="30">
        <f>COUNTIFS('AT. MEDICAS 2024'!$A$9:$A$874,"21/04/2025",'AT. MEDICAS 2024'!$I$9:$I$874,B100)</f>
        <v>0</v>
      </c>
      <c r="X100" s="30">
        <f>COUNTIFS('AT. MEDICAS 2024'!$A$9:$A$874,"22/04/2025",'AT. MEDICAS 2024'!$I$9:$I$874,B100)</f>
        <v>0</v>
      </c>
      <c r="Y100" s="30">
        <f>COUNTIFS('AT. MEDICAS 2024'!$A$9:$A$874,"23/04/2025",'AT. MEDICAS 2024'!$I$9:$I$874,B100)</f>
        <v>0</v>
      </c>
      <c r="Z100" s="30">
        <f>COUNTIFS('AT. MEDICAS 2024'!$A$9:$A$874,"24/04/2025",'AT. MEDICAS 2024'!$I$9:$I$874,B100)</f>
        <v>0</v>
      </c>
      <c r="AA100" s="30">
        <f>COUNTIFS('AT. MEDICAS 2024'!$A$9:$A$874,"25/04/2025",'AT. MEDICAS 2024'!$I$9:$I$874,B100)</f>
        <v>0</v>
      </c>
      <c r="AB100" s="30">
        <f>COUNTIFS('AT. MEDICAS 2024'!$A$9:$A$874,"26/04/2025",'AT. MEDICAS 2024'!$I$9:$I$874,B100)</f>
        <v>0</v>
      </c>
      <c r="AC100" s="30">
        <f>COUNTIFS('AT. MEDICAS 2024'!$A$9:$A$874,"27/04/2025",'AT. MEDICAS 2024'!$I$9:$I$874,B100)</f>
        <v>0</v>
      </c>
      <c r="AD100" s="30">
        <f>COUNTIFS('AT. MEDICAS 2024'!$A$9:$A$874,"28/04/2025",'AT. MEDICAS 2024'!$I$9:$I$874,B100)</f>
        <v>0</v>
      </c>
      <c r="AE100" s="30">
        <f>COUNTIFS('AT. MEDICAS 2024'!$A$9:$A$874,"29/04/2025",'AT. MEDICAS 2024'!$I$9:$I$874,B100)</f>
        <v>0</v>
      </c>
      <c r="AF100" s="30">
        <f>COUNTIFS('AT. MEDICAS 2024'!$A$9:$A$874,"30/04/2025",'AT. MEDICAS 2024'!$I$9:$I$874,B100)</f>
        <v>0</v>
      </c>
      <c r="AG100" s="30"/>
      <c r="AH100" s="55">
        <f t="shared" si="17"/>
        <v>0</v>
      </c>
    </row>
    <row r="101" spans="1:34" ht="13.8" thickBot="1" x14ac:dyDescent="0.3">
      <c r="A101" s="41">
        <v>16</v>
      </c>
      <c r="B101" s="54" t="s">
        <v>14</v>
      </c>
      <c r="C101" s="30">
        <f>COUNTIFS('AT. MEDICAS 2024'!$A$9:$A$874,"01/04/2025",'AT. MEDICAS 2024'!$I$9:$I$874,B101)</f>
        <v>0</v>
      </c>
      <c r="D101" s="30">
        <f>COUNTIFS('AT. MEDICAS 2024'!$A$9:$A$874,"02/04/2025",'AT. MEDICAS 2024'!$I$9:$I$874,B101)</f>
        <v>0</v>
      </c>
      <c r="E101" s="30">
        <f>COUNTIFS('AT. MEDICAS 2024'!$A$9:$A$874,"03/04/2025",'AT. MEDICAS 2024'!$I$9:$I$874,B101)</f>
        <v>0</v>
      </c>
      <c r="F101" s="30">
        <f>COUNTIFS('AT. MEDICAS 2024'!$A$9:$A$874,"04/04/2025",'AT. MEDICAS 2024'!$I$9:$I$874,B101)</f>
        <v>0</v>
      </c>
      <c r="G101" s="30">
        <f>COUNTIFS('AT. MEDICAS 2024'!$A$9:$A$874,"05/04/2025",'AT. MEDICAS 2024'!$I$9:$I$874,B101)</f>
        <v>0</v>
      </c>
      <c r="H101" s="30">
        <f>COUNTIFS('AT. MEDICAS 2024'!$A$9:$A$874,"06/04/2025",'AT. MEDICAS 2024'!$I$9:$I$874,B101)</f>
        <v>0</v>
      </c>
      <c r="I101" s="30">
        <f>COUNTIFS('AT. MEDICAS 2024'!$A$9:$A$874,"07/04/2025",'AT. MEDICAS 2024'!$I$9:$I$874,B101)</f>
        <v>0</v>
      </c>
      <c r="J101" s="30">
        <f>COUNTIFS('AT. MEDICAS 2024'!$A$9:$A$874,"08/04/2025",'AT. MEDICAS 2024'!$I$9:$I$874,B101)</f>
        <v>0</v>
      </c>
      <c r="K101" s="30">
        <f>COUNTIFS('AT. MEDICAS 2024'!$A$9:$A$874,"09/04/2025",'AT. MEDICAS 2024'!$I$9:$I$874,B101)</f>
        <v>0</v>
      </c>
      <c r="L101" s="30">
        <f>COUNTIFS('AT. MEDICAS 2024'!$A$9:$A$874,"10/04/2025",'AT. MEDICAS 2024'!$I$9:$I$874,B101)</f>
        <v>0</v>
      </c>
      <c r="M101" s="30">
        <f>COUNTIFS('AT. MEDICAS 2024'!$A$9:$A$874,"11/04/2025",'AT. MEDICAS 2024'!$I$9:$I$874,B101)</f>
        <v>0</v>
      </c>
      <c r="N101" s="30">
        <f>COUNTIFS('AT. MEDICAS 2024'!$A$9:$A$874,"12/04/2025",'AT. MEDICAS 2024'!$I$9:$I$874,B101)</f>
        <v>0</v>
      </c>
      <c r="O101" s="30">
        <f>COUNTIFS('AT. MEDICAS 2024'!$A$9:$A$874,"13/04/2025",'AT. MEDICAS 2024'!$I$9:$I$874,B101)</f>
        <v>0</v>
      </c>
      <c r="P101" s="30">
        <f>COUNTIFS('AT. MEDICAS 2024'!$A$9:$A$874,"14/04/2025",'AT. MEDICAS 2024'!$I$9:$I$874,B101)</f>
        <v>0</v>
      </c>
      <c r="Q101" s="30">
        <f>COUNTIFS('AT. MEDICAS 2024'!$A$9:$A$874,"15/04/2025",'AT. MEDICAS 2024'!$I$9:$I$874,B101)</f>
        <v>0</v>
      </c>
      <c r="R101" s="30">
        <f>COUNTIFS('AT. MEDICAS 2024'!$A$9:$A$874,"16/04/2025",'AT. MEDICAS 2024'!$I$9:$I$874,B101)</f>
        <v>0</v>
      </c>
      <c r="S101" s="30">
        <f>COUNTIFS('AT. MEDICAS 2024'!$A$9:$A$874,"17/04/2025",'AT. MEDICAS 2024'!$I$9:$I$874,B101)</f>
        <v>0</v>
      </c>
      <c r="T101" s="30">
        <f>COUNTIFS('AT. MEDICAS 2024'!$A$9:$A$874,"18/04/2025",'AT. MEDICAS 2024'!$I$9:$I$874,B101)</f>
        <v>0</v>
      </c>
      <c r="U101" s="30">
        <f>COUNTIFS('AT. MEDICAS 2024'!$A$9:$A$874,"19/04/2025",'AT. MEDICAS 2024'!$I$9:$I$874,B101)</f>
        <v>0</v>
      </c>
      <c r="V101" s="30">
        <f>COUNTIFS('AT. MEDICAS 2024'!$A$9:$A$874,"20/04/2025",'AT. MEDICAS 2024'!$I$9:$I$874,B101)</f>
        <v>0</v>
      </c>
      <c r="W101" s="30">
        <f>COUNTIFS('AT. MEDICAS 2024'!$A$9:$A$874,"21/04/2025",'AT. MEDICAS 2024'!$I$9:$I$874,B101)</f>
        <v>0</v>
      </c>
      <c r="X101" s="30">
        <f>COUNTIFS('AT. MEDICAS 2024'!$A$9:$A$874,"22/04/2025",'AT. MEDICAS 2024'!$I$9:$I$874,B101)</f>
        <v>0</v>
      </c>
      <c r="Y101" s="30">
        <f>COUNTIFS('AT. MEDICAS 2024'!$A$9:$A$874,"23/04/2025",'AT. MEDICAS 2024'!$I$9:$I$874,B101)</f>
        <v>0</v>
      </c>
      <c r="Z101" s="30">
        <f>COUNTIFS('AT. MEDICAS 2024'!$A$9:$A$874,"24/04/2025",'AT. MEDICAS 2024'!$I$9:$I$874,B101)</f>
        <v>0</v>
      </c>
      <c r="AA101" s="30">
        <f>COUNTIFS('AT. MEDICAS 2024'!$A$9:$A$874,"25/04/2025",'AT. MEDICAS 2024'!$I$9:$I$874,B101)</f>
        <v>0</v>
      </c>
      <c r="AB101" s="30">
        <f>COUNTIFS('AT. MEDICAS 2024'!$A$9:$A$874,"26/04/2025",'AT. MEDICAS 2024'!$I$9:$I$874,B101)</f>
        <v>0</v>
      </c>
      <c r="AC101" s="30">
        <f>COUNTIFS('AT. MEDICAS 2024'!$A$9:$A$874,"27/04/2025",'AT. MEDICAS 2024'!$I$9:$I$874,B101)</f>
        <v>0</v>
      </c>
      <c r="AD101" s="30">
        <f>COUNTIFS('AT. MEDICAS 2024'!$A$9:$A$874,"28/04/2025",'AT. MEDICAS 2024'!$I$9:$I$874,B101)</f>
        <v>0</v>
      </c>
      <c r="AE101" s="30">
        <f>COUNTIFS('AT. MEDICAS 2024'!$A$9:$A$874,"29/04/2025",'AT. MEDICAS 2024'!$I$9:$I$874,B101)</f>
        <v>0</v>
      </c>
      <c r="AF101" s="30">
        <f>COUNTIFS('AT. MEDICAS 2024'!$A$9:$A$874,"30/04/2025",'AT. MEDICAS 2024'!$I$9:$I$874,B101)</f>
        <v>0</v>
      </c>
      <c r="AG101" s="30"/>
      <c r="AH101" s="55">
        <f t="shared" si="17"/>
        <v>0</v>
      </c>
    </row>
    <row r="102" spans="1:34" ht="13.8" thickBot="1" x14ac:dyDescent="0.3">
      <c r="A102" s="41">
        <v>17</v>
      </c>
      <c r="B102" s="54" t="s">
        <v>72</v>
      </c>
      <c r="C102" s="30">
        <f>COUNTIFS('AT. MEDICAS 2024'!$A$9:$A$874,"01/04/2025",'AT. MEDICAS 2024'!$I$9:$I$874,B102)</f>
        <v>0</v>
      </c>
      <c r="D102" s="30">
        <f>COUNTIFS('AT. MEDICAS 2024'!$A$9:$A$874,"02/04/2025",'AT. MEDICAS 2024'!$I$9:$I$874,B102)</f>
        <v>0</v>
      </c>
      <c r="E102" s="30">
        <f>COUNTIFS('AT. MEDICAS 2024'!$A$9:$A$874,"03/04/2025",'AT. MEDICAS 2024'!$I$9:$I$874,B102)</f>
        <v>0</v>
      </c>
      <c r="F102" s="30">
        <f>COUNTIFS('AT. MEDICAS 2024'!$A$9:$A$874,"04/04/2025",'AT. MEDICAS 2024'!$I$9:$I$874,B102)</f>
        <v>0</v>
      </c>
      <c r="G102" s="30">
        <f>COUNTIFS('AT. MEDICAS 2024'!$A$9:$A$874,"05/04/2025",'AT. MEDICAS 2024'!$I$9:$I$874,B102)</f>
        <v>0</v>
      </c>
      <c r="H102" s="30">
        <f>COUNTIFS('AT. MEDICAS 2024'!$A$9:$A$874,"06/04/2025",'AT. MEDICAS 2024'!$I$9:$I$874,B102)</f>
        <v>0</v>
      </c>
      <c r="I102" s="30">
        <f>COUNTIFS('AT. MEDICAS 2024'!$A$9:$A$874,"07/04/2025",'AT. MEDICAS 2024'!$I$9:$I$874,B102)</f>
        <v>0</v>
      </c>
      <c r="J102" s="30">
        <f>COUNTIFS('AT. MEDICAS 2024'!$A$9:$A$874,"08/04/2025",'AT. MEDICAS 2024'!$I$9:$I$874,B102)</f>
        <v>0</v>
      </c>
      <c r="K102" s="30">
        <f>COUNTIFS('AT. MEDICAS 2024'!$A$9:$A$874,"09/04/2025",'AT. MEDICAS 2024'!$I$9:$I$874,B102)</f>
        <v>0</v>
      </c>
      <c r="L102" s="30">
        <f>COUNTIFS('AT. MEDICAS 2024'!$A$9:$A$874,"10/04/2025",'AT. MEDICAS 2024'!$I$9:$I$874,B102)</f>
        <v>0</v>
      </c>
      <c r="M102" s="30">
        <f>COUNTIFS('AT. MEDICAS 2024'!$A$9:$A$874,"11/04/2025",'AT. MEDICAS 2024'!$I$9:$I$874,B102)</f>
        <v>0</v>
      </c>
      <c r="N102" s="30">
        <f>COUNTIFS('AT. MEDICAS 2024'!$A$9:$A$874,"12/04/2025",'AT. MEDICAS 2024'!$I$9:$I$874,B102)</f>
        <v>0</v>
      </c>
      <c r="O102" s="30">
        <f>COUNTIFS('AT. MEDICAS 2024'!$A$9:$A$874,"13/04/2025",'AT. MEDICAS 2024'!$I$9:$I$874,B102)</f>
        <v>0</v>
      </c>
      <c r="P102" s="30">
        <f>COUNTIFS('AT. MEDICAS 2024'!$A$9:$A$874,"14/04/2025",'AT. MEDICAS 2024'!$I$9:$I$874,B102)</f>
        <v>0</v>
      </c>
      <c r="Q102" s="30">
        <f>COUNTIFS('AT. MEDICAS 2024'!$A$9:$A$874,"15/04/2025",'AT. MEDICAS 2024'!$I$9:$I$874,B102)</f>
        <v>0</v>
      </c>
      <c r="R102" s="30">
        <f>COUNTIFS('AT. MEDICAS 2024'!$A$9:$A$874,"16/04/2025",'AT. MEDICAS 2024'!$I$9:$I$874,B102)</f>
        <v>0</v>
      </c>
      <c r="S102" s="30">
        <f>COUNTIFS('AT. MEDICAS 2024'!$A$9:$A$874,"17/04/2025",'AT. MEDICAS 2024'!$I$9:$I$874,B102)</f>
        <v>0</v>
      </c>
      <c r="T102" s="30">
        <f>COUNTIFS('AT. MEDICAS 2024'!$A$9:$A$874,"18/04/2025",'AT. MEDICAS 2024'!$I$9:$I$874,B102)</f>
        <v>0</v>
      </c>
      <c r="U102" s="30">
        <f>COUNTIFS('AT. MEDICAS 2024'!$A$9:$A$874,"19/04/2025",'AT. MEDICAS 2024'!$I$9:$I$874,B102)</f>
        <v>0</v>
      </c>
      <c r="V102" s="30">
        <f>COUNTIFS('AT. MEDICAS 2024'!$A$9:$A$874,"20/04/2025",'AT. MEDICAS 2024'!$I$9:$I$874,B102)</f>
        <v>0</v>
      </c>
      <c r="W102" s="30">
        <f>COUNTIFS('AT. MEDICAS 2024'!$A$9:$A$874,"21/04/2025",'AT. MEDICAS 2024'!$I$9:$I$874,B102)</f>
        <v>0</v>
      </c>
      <c r="X102" s="30">
        <f>COUNTIFS('AT. MEDICAS 2024'!$A$9:$A$874,"22/04/2025",'AT. MEDICAS 2024'!$I$9:$I$874,B102)</f>
        <v>0</v>
      </c>
      <c r="Y102" s="30">
        <f>COUNTIFS('AT. MEDICAS 2024'!$A$9:$A$874,"23/04/2025",'AT. MEDICAS 2024'!$I$9:$I$874,B102)</f>
        <v>0</v>
      </c>
      <c r="Z102" s="30">
        <f>COUNTIFS('AT. MEDICAS 2024'!$A$9:$A$874,"24/04/2025",'AT. MEDICAS 2024'!$I$9:$I$874,B102)</f>
        <v>0</v>
      </c>
      <c r="AA102" s="30">
        <f>COUNTIFS('AT. MEDICAS 2024'!$A$9:$A$874,"25/04/2025",'AT. MEDICAS 2024'!$I$9:$I$874,B102)</f>
        <v>0</v>
      </c>
      <c r="AB102" s="30">
        <f>COUNTIFS('AT. MEDICAS 2024'!$A$9:$A$874,"26/04/2025",'AT. MEDICAS 2024'!$I$9:$I$874,B102)</f>
        <v>0</v>
      </c>
      <c r="AC102" s="30">
        <f>COUNTIFS('AT. MEDICAS 2024'!$A$9:$A$874,"27/04/2025",'AT. MEDICAS 2024'!$I$9:$I$874,B102)</f>
        <v>0</v>
      </c>
      <c r="AD102" s="30">
        <f>COUNTIFS('AT. MEDICAS 2024'!$A$9:$A$874,"28/04/2025",'AT. MEDICAS 2024'!$I$9:$I$874,B102)</f>
        <v>0</v>
      </c>
      <c r="AE102" s="30">
        <f>COUNTIFS('AT. MEDICAS 2024'!$A$9:$A$874,"29/04/2025",'AT. MEDICAS 2024'!$I$9:$I$874,B102)</f>
        <v>0</v>
      </c>
      <c r="AF102" s="30">
        <f>COUNTIFS('AT. MEDICAS 2024'!$A$9:$A$874,"30/04/2025",'AT. MEDICAS 2024'!$I$9:$I$874,B102)</f>
        <v>0</v>
      </c>
      <c r="AG102" s="30"/>
      <c r="AH102" s="55">
        <f t="shared" si="17"/>
        <v>0</v>
      </c>
    </row>
    <row r="103" spans="1:34" ht="13.8" thickBot="1" x14ac:dyDescent="0.3">
      <c r="A103" s="41">
        <v>18</v>
      </c>
      <c r="B103" s="54" t="s">
        <v>190</v>
      </c>
      <c r="C103" s="30">
        <f>COUNTIFS('AT. MEDICAS 2024'!$A$9:$A$874,"01/04/2025",'AT. MEDICAS 2024'!$I$9:$I$874,B103)</f>
        <v>0</v>
      </c>
      <c r="D103" s="30">
        <f>COUNTIFS('AT. MEDICAS 2024'!$A$9:$A$874,"02/04/2025",'AT. MEDICAS 2024'!$I$9:$I$874,B103)</f>
        <v>0</v>
      </c>
      <c r="E103" s="30">
        <f>COUNTIFS('AT. MEDICAS 2024'!$A$9:$A$874,"03/04/2025",'AT. MEDICAS 2024'!$I$9:$I$874,B103)</f>
        <v>0</v>
      </c>
      <c r="F103" s="30">
        <f>COUNTIFS('AT. MEDICAS 2024'!$A$9:$A$874,"04/04/2025",'AT. MEDICAS 2024'!$I$9:$I$874,B103)</f>
        <v>0</v>
      </c>
      <c r="G103" s="30">
        <f>COUNTIFS('AT. MEDICAS 2024'!$A$9:$A$874,"05/04/2025",'AT. MEDICAS 2024'!$I$9:$I$874,B103)</f>
        <v>0</v>
      </c>
      <c r="H103" s="30">
        <f>COUNTIFS('AT. MEDICAS 2024'!$A$9:$A$874,"06/04/2025",'AT. MEDICAS 2024'!$I$9:$I$874,B103)</f>
        <v>0</v>
      </c>
      <c r="I103" s="30">
        <f>COUNTIFS('AT. MEDICAS 2024'!$A$9:$A$874,"07/04/2025",'AT. MEDICAS 2024'!$I$9:$I$874,B103)</f>
        <v>0</v>
      </c>
      <c r="J103" s="30">
        <f>COUNTIFS('AT. MEDICAS 2024'!$A$9:$A$874,"08/04/2025",'AT. MEDICAS 2024'!$I$9:$I$874,B103)</f>
        <v>0</v>
      </c>
      <c r="K103" s="30">
        <f>COUNTIFS('AT. MEDICAS 2024'!$A$9:$A$874,"09/04/2025",'AT. MEDICAS 2024'!$I$9:$I$874,B103)</f>
        <v>0</v>
      </c>
      <c r="L103" s="30">
        <f>COUNTIFS('AT. MEDICAS 2024'!$A$9:$A$874,"10/04/2025",'AT. MEDICAS 2024'!$I$9:$I$874,B103)</f>
        <v>0</v>
      </c>
      <c r="M103" s="30">
        <f>COUNTIFS('AT. MEDICAS 2024'!$A$9:$A$874,"11/04/2025",'AT. MEDICAS 2024'!$I$9:$I$874,B103)</f>
        <v>0</v>
      </c>
      <c r="N103" s="30">
        <f>COUNTIFS('AT. MEDICAS 2024'!$A$9:$A$874,"12/04/2025",'AT. MEDICAS 2024'!$I$9:$I$874,B103)</f>
        <v>0</v>
      </c>
      <c r="O103" s="30">
        <f>COUNTIFS('AT. MEDICAS 2024'!$A$9:$A$874,"13/04/2025",'AT. MEDICAS 2024'!$I$9:$I$874,B103)</f>
        <v>0</v>
      </c>
      <c r="P103" s="30">
        <f>COUNTIFS('AT. MEDICAS 2024'!$A$9:$A$874,"14/04/2025",'AT. MEDICAS 2024'!$I$9:$I$874,B103)</f>
        <v>0</v>
      </c>
      <c r="Q103" s="30">
        <f>COUNTIFS('AT. MEDICAS 2024'!$A$9:$A$874,"15/04/2025",'AT. MEDICAS 2024'!$I$9:$I$874,B103)</f>
        <v>0</v>
      </c>
      <c r="R103" s="30">
        <f>COUNTIFS('AT. MEDICAS 2024'!$A$9:$A$874,"16/04/2025",'AT. MEDICAS 2024'!$I$9:$I$874,B103)</f>
        <v>0</v>
      </c>
      <c r="S103" s="30">
        <f>COUNTIFS('AT. MEDICAS 2024'!$A$9:$A$874,"17/04/2025",'AT. MEDICAS 2024'!$I$9:$I$874,B103)</f>
        <v>0</v>
      </c>
      <c r="T103" s="30">
        <f>COUNTIFS('AT. MEDICAS 2024'!$A$9:$A$874,"18/04/2025",'AT. MEDICAS 2024'!$I$9:$I$874,B103)</f>
        <v>0</v>
      </c>
      <c r="U103" s="30">
        <f>COUNTIFS('AT. MEDICAS 2024'!$A$9:$A$874,"19/04/2025",'AT. MEDICAS 2024'!$I$9:$I$874,B103)</f>
        <v>0</v>
      </c>
      <c r="V103" s="30">
        <f>COUNTIFS('AT. MEDICAS 2024'!$A$9:$A$874,"20/04/2025",'AT. MEDICAS 2024'!$I$9:$I$874,B103)</f>
        <v>0</v>
      </c>
      <c r="W103" s="30">
        <f>COUNTIFS('AT. MEDICAS 2024'!$A$9:$A$874,"21/04/2025",'AT. MEDICAS 2024'!$I$9:$I$874,B103)</f>
        <v>0</v>
      </c>
      <c r="X103" s="30">
        <f>COUNTIFS('AT. MEDICAS 2024'!$A$9:$A$874,"22/04/2025",'AT. MEDICAS 2024'!$I$9:$I$874,B103)</f>
        <v>0</v>
      </c>
      <c r="Y103" s="30">
        <f>COUNTIFS('AT. MEDICAS 2024'!$A$9:$A$874,"23/04/2025",'AT. MEDICAS 2024'!$I$9:$I$874,B103)</f>
        <v>0</v>
      </c>
      <c r="Z103" s="30">
        <f>COUNTIFS('AT. MEDICAS 2024'!$A$9:$A$874,"24/04/2025",'AT. MEDICAS 2024'!$I$9:$I$874,B103)</f>
        <v>0</v>
      </c>
      <c r="AA103" s="30">
        <f>COUNTIFS('AT. MEDICAS 2024'!$A$9:$A$874,"25/04/2025",'AT. MEDICAS 2024'!$I$9:$I$874,B103)</f>
        <v>0</v>
      </c>
      <c r="AB103" s="30">
        <f>COUNTIFS('AT. MEDICAS 2024'!$A$9:$A$874,"26/04/2025",'AT. MEDICAS 2024'!$I$9:$I$874,B103)</f>
        <v>0</v>
      </c>
      <c r="AC103" s="30">
        <f>COUNTIFS('AT. MEDICAS 2024'!$A$9:$A$874,"27/04/2025",'AT. MEDICAS 2024'!$I$9:$I$874,B103)</f>
        <v>0</v>
      </c>
      <c r="AD103" s="30">
        <f>COUNTIFS('AT. MEDICAS 2024'!$A$9:$A$874,"28/04/2025",'AT. MEDICAS 2024'!$I$9:$I$874,B103)</f>
        <v>0</v>
      </c>
      <c r="AE103" s="30">
        <f>COUNTIFS('AT. MEDICAS 2024'!$A$9:$A$874,"29/04/2025",'AT. MEDICAS 2024'!$I$9:$I$874,B103)</f>
        <v>0</v>
      </c>
      <c r="AF103" s="30">
        <f>COUNTIFS('AT. MEDICAS 2024'!$A$9:$A$874,"30/04/2025",'AT. MEDICAS 2024'!$I$9:$I$874,B103)</f>
        <v>0</v>
      </c>
      <c r="AG103" s="30"/>
      <c r="AH103" s="55">
        <f t="shared" si="17"/>
        <v>0</v>
      </c>
    </row>
    <row r="104" spans="1:34" ht="13.8" thickBot="1" x14ac:dyDescent="0.3">
      <c r="A104" s="41">
        <v>19</v>
      </c>
      <c r="B104" s="54" t="s">
        <v>118</v>
      </c>
      <c r="C104" s="30">
        <f>COUNTIFS('AT. MEDICAS 2024'!$A$9:$A$874,"01/04/2025",'AT. MEDICAS 2024'!$I$9:$I$874,B104)</f>
        <v>0</v>
      </c>
      <c r="D104" s="30">
        <f>COUNTIFS('AT. MEDICAS 2024'!$A$9:$A$874,"02/04/2025",'AT. MEDICAS 2024'!$I$9:$I$874,B104)</f>
        <v>0</v>
      </c>
      <c r="E104" s="30">
        <f>COUNTIFS('AT. MEDICAS 2024'!$A$9:$A$874,"03/04/2025",'AT. MEDICAS 2024'!$I$9:$I$874,B104)</f>
        <v>0</v>
      </c>
      <c r="F104" s="30">
        <f>COUNTIFS('AT. MEDICAS 2024'!$A$9:$A$874,"04/04/2025",'AT. MEDICAS 2024'!$I$9:$I$874,B104)</f>
        <v>0</v>
      </c>
      <c r="G104" s="30">
        <f>COUNTIFS('AT. MEDICAS 2024'!$A$9:$A$874,"05/04/2025",'AT. MEDICAS 2024'!$I$9:$I$874,B104)</f>
        <v>0</v>
      </c>
      <c r="H104" s="30">
        <f>COUNTIFS('AT. MEDICAS 2024'!$A$9:$A$874,"06/04/2025",'AT. MEDICAS 2024'!$I$9:$I$874,B104)</f>
        <v>0</v>
      </c>
      <c r="I104" s="30">
        <f>COUNTIFS('AT. MEDICAS 2024'!$A$9:$A$874,"07/04/2025",'AT. MEDICAS 2024'!$I$9:$I$874,B104)</f>
        <v>0</v>
      </c>
      <c r="J104" s="30">
        <f>COUNTIFS('AT. MEDICAS 2024'!$A$9:$A$874,"08/04/2025",'AT. MEDICAS 2024'!$I$9:$I$874,B104)</f>
        <v>0</v>
      </c>
      <c r="K104" s="30">
        <f>COUNTIFS('AT. MEDICAS 2024'!$A$9:$A$874,"09/04/2025",'AT. MEDICAS 2024'!$I$9:$I$874,B104)</f>
        <v>0</v>
      </c>
      <c r="L104" s="30">
        <f>COUNTIFS('AT. MEDICAS 2024'!$A$9:$A$874,"10/04/2025",'AT. MEDICAS 2024'!$I$9:$I$874,B104)</f>
        <v>0</v>
      </c>
      <c r="M104" s="30">
        <f>COUNTIFS('AT. MEDICAS 2024'!$A$9:$A$874,"11/04/2025",'AT. MEDICAS 2024'!$I$9:$I$874,B104)</f>
        <v>0</v>
      </c>
      <c r="N104" s="30">
        <f>COUNTIFS('AT. MEDICAS 2024'!$A$9:$A$874,"12/04/2025",'AT. MEDICAS 2024'!$I$9:$I$874,B104)</f>
        <v>0</v>
      </c>
      <c r="O104" s="30">
        <f>COUNTIFS('AT. MEDICAS 2024'!$A$9:$A$874,"13/04/2025",'AT. MEDICAS 2024'!$I$9:$I$874,B104)</f>
        <v>0</v>
      </c>
      <c r="P104" s="30">
        <f>COUNTIFS('AT. MEDICAS 2024'!$A$9:$A$874,"14/04/2025",'AT. MEDICAS 2024'!$I$9:$I$874,B104)</f>
        <v>0</v>
      </c>
      <c r="Q104" s="30">
        <f>COUNTIFS('AT. MEDICAS 2024'!$A$9:$A$874,"15/04/2025",'AT. MEDICAS 2024'!$I$9:$I$874,B104)</f>
        <v>0</v>
      </c>
      <c r="R104" s="30">
        <f>COUNTIFS('AT. MEDICAS 2024'!$A$9:$A$874,"16/04/2025",'AT. MEDICAS 2024'!$I$9:$I$874,B104)</f>
        <v>0</v>
      </c>
      <c r="S104" s="30">
        <f>COUNTIFS('AT. MEDICAS 2024'!$A$9:$A$874,"17/04/2025",'AT. MEDICAS 2024'!$I$9:$I$874,B104)</f>
        <v>0</v>
      </c>
      <c r="T104" s="30">
        <f>COUNTIFS('AT. MEDICAS 2024'!$A$9:$A$874,"18/04/2025",'AT. MEDICAS 2024'!$I$9:$I$874,B104)</f>
        <v>0</v>
      </c>
      <c r="U104" s="30">
        <f>COUNTIFS('AT. MEDICAS 2024'!$A$9:$A$874,"19/04/2025",'AT. MEDICAS 2024'!$I$9:$I$874,B104)</f>
        <v>0</v>
      </c>
      <c r="V104" s="30">
        <f>COUNTIFS('AT. MEDICAS 2024'!$A$9:$A$874,"20/04/2025",'AT. MEDICAS 2024'!$I$9:$I$874,B104)</f>
        <v>0</v>
      </c>
      <c r="W104" s="30">
        <f>COUNTIFS('AT. MEDICAS 2024'!$A$9:$A$874,"21/04/2025",'AT. MEDICAS 2024'!$I$9:$I$874,B104)</f>
        <v>0</v>
      </c>
      <c r="X104" s="30">
        <f>COUNTIFS('AT. MEDICAS 2024'!$A$9:$A$874,"22/04/2025",'AT. MEDICAS 2024'!$I$9:$I$874,B104)</f>
        <v>0</v>
      </c>
      <c r="Y104" s="30">
        <f>COUNTIFS('AT. MEDICAS 2024'!$A$9:$A$874,"23/04/2025",'AT. MEDICAS 2024'!$I$9:$I$874,B104)</f>
        <v>0</v>
      </c>
      <c r="Z104" s="30">
        <f>COUNTIFS('AT. MEDICAS 2024'!$A$9:$A$874,"24/04/2025",'AT. MEDICAS 2024'!$I$9:$I$874,B104)</f>
        <v>0</v>
      </c>
      <c r="AA104" s="30">
        <f>COUNTIFS('AT. MEDICAS 2024'!$A$9:$A$874,"25/04/2025",'AT. MEDICAS 2024'!$I$9:$I$874,B104)</f>
        <v>0</v>
      </c>
      <c r="AB104" s="30">
        <f>COUNTIFS('AT. MEDICAS 2024'!$A$9:$A$874,"26/04/2025",'AT. MEDICAS 2024'!$I$9:$I$874,B104)</f>
        <v>0</v>
      </c>
      <c r="AC104" s="30">
        <f>COUNTIFS('AT. MEDICAS 2024'!$A$9:$A$874,"27/04/2025",'AT. MEDICAS 2024'!$I$9:$I$874,B104)</f>
        <v>0</v>
      </c>
      <c r="AD104" s="30">
        <f>COUNTIFS('AT. MEDICAS 2024'!$A$9:$A$874,"28/04/2025",'AT. MEDICAS 2024'!$I$9:$I$874,B104)</f>
        <v>0</v>
      </c>
      <c r="AE104" s="30">
        <f>COUNTIFS('AT. MEDICAS 2024'!$A$9:$A$874,"29/04/2025",'AT. MEDICAS 2024'!$I$9:$I$874,B104)</f>
        <v>0</v>
      </c>
      <c r="AF104" s="30">
        <f>COUNTIFS('AT. MEDICAS 2024'!$A$9:$A$874,"30/04/2025",'AT. MEDICAS 2024'!$I$9:$I$874,B104)</f>
        <v>0</v>
      </c>
      <c r="AG104" s="30"/>
      <c r="AH104" s="55">
        <f t="shared" si="17"/>
        <v>0</v>
      </c>
    </row>
    <row r="105" spans="1:34" ht="13.8" thickBot="1" x14ac:dyDescent="0.3">
      <c r="A105" s="41">
        <v>20</v>
      </c>
      <c r="B105" s="54" t="s">
        <v>31</v>
      </c>
      <c r="C105" s="30">
        <f>COUNTIFS('AT. MEDICAS 2024'!$A$9:$A$874,"01/04/2025",'AT. MEDICAS 2024'!$I$9:$I$874,B105)</f>
        <v>0</v>
      </c>
      <c r="D105" s="30">
        <f>COUNTIFS('AT. MEDICAS 2024'!$A$9:$A$874,"02/04/2025",'AT. MEDICAS 2024'!$I$9:$I$874,B105)</f>
        <v>0</v>
      </c>
      <c r="E105" s="30">
        <f>COUNTIFS('AT. MEDICAS 2024'!$A$9:$A$874,"03/04/2025",'AT. MEDICAS 2024'!$I$9:$I$874,B105)</f>
        <v>0</v>
      </c>
      <c r="F105" s="30">
        <f>COUNTIFS('AT. MEDICAS 2024'!$A$9:$A$874,"04/04/2025",'AT. MEDICAS 2024'!$I$9:$I$874,B105)</f>
        <v>0</v>
      </c>
      <c r="G105" s="30">
        <f>COUNTIFS('AT. MEDICAS 2024'!$A$9:$A$874,"05/04/2025",'AT. MEDICAS 2024'!$I$9:$I$874,B105)</f>
        <v>0</v>
      </c>
      <c r="H105" s="30">
        <f>COUNTIFS('AT. MEDICAS 2024'!$A$9:$A$874,"06/04/2025",'AT. MEDICAS 2024'!$I$9:$I$874,B105)</f>
        <v>0</v>
      </c>
      <c r="I105" s="30">
        <f>COUNTIFS('AT. MEDICAS 2024'!$A$9:$A$874,"07/04/2025",'AT. MEDICAS 2024'!$I$9:$I$874,B105)</f>
        <v>0</v>
      </c>
      <c r="J105" s="30">
        <f>COUNTIFS('AT. MEDICAS 2024'!$A$9:$A$874,"08/04/2025",'AT. MEDICAS 2024'!$I$9:$I$874,B105)</f>
        <v>0</v>
      </c>
      <c r="K105" s="30">
        <f>COUNTIFS('AT. MEDICAS 2024'!$A$9:$A$874,"09/04/2025",'AT. MEDICAS 2024'!$I$9:$I$874,B105)</f>
        <v>0</v>
      </c>
      <c r="L105" s="30">
        <f>COUNTIFS('AT. MEDICAS 2024'!$A$9:$A$874,"10/04/2025",'AT. MEDICAS 2024'!$I$9:$I$874,B105)</f>
        <v>0</v>
      </c>
      <c r="M105" s="30">
        <f>COUNTIFS('AT. MEDICAS 2024'!$A$9:$A$874,"11/04/2025",'AT. MEDICAS 2024'!$I$9:$I$874,B105)</f>
        <v>0</v>
      </c>
      <c r="N105" s="30">
        <f>COUNTIFS('AT. MEDICAS 2024'!$A$9:$A$874,"12/04/2025",'AT. MEDICAS 2024'!$I$9:$I$874,B105)</f>
        <v>0</v>
      </c>
      <c r="O105" s="30">
        <f>COUNTIFS('AT. MEDICAS 2024'!$A$9:$A$874,"13/04/2025",'AT. MEDICAS 2024'!$I$9:$I$874,B105)</f>
        <v>0</v>
      </c>
      <c r="P105" s="30">
        <f>COUNTIFS('AT. MEDICAS 2024'!$A$9:$A$874,"14/04/2025",'AT. MEDICAS 2024'!$I$9:$I$874,B105)</f>
        <v>0</v>
      </c>
      <c r="Q105" s="30">
        <f>COUNTIFS('AT. MEDICAS 2024'!$A$9:$A$874,"15/04/2025",'AT. MEDICAS 2024'!$I$9:$I$874,B105)</f>
        <v>0</v>
      </c>
      <c r="R105" s="30">
        <f>COUNTIFS('AT. MEDICAS 2024'!$A$9:$A$874,"16/04/2025",'AT. MEDICAS 2024'!$I$9:$I$874,B105)</f>
        <v>0</v>
      </c>
      <c r="S105" s="30">
        <f>COUNTIFS('AT. MEDICAS 2024'!$A$9:$A$874,"17/04/2025",'AT. MEDICAS 2024'!$I$9:$I$874,B105)</f>
        <v>0</v>
      </c>
      <c r="T105" s="30">
        <f>COUNTIFS('AT. MEDICAS 2024'!$A$9:$A$874,"18/04/2025",'AT. MEDICAS 2024'!$I$9:$I$874,B105)</f>
        <v>0</v>
      </c>
      <c r="U105" s="30">
        <f>COUNTIFS('AT. MEDICAS 2024'!$A$9:$A$874,"19/04/2025",'AT. MEDICAS 2024'!$I$9:$I$874,B105)</f>
        <v>0</v>
      </c>
      <c r="V105" s="30">
        <f>COUNTIFS('AT. MEDICAS 2024'!$A$9:$A$874,"20/04/2025",'AT. MEDICAS 2024'!$I$9:$I$874,B105)</f>
        <v>0</v>
      </c>
      <c r="W105" s="30">
        <f>COUNTIFS('AT. MEDICAS 2024'!$A$9:$A$874,"21/04/2025",'AT. MEDICAS 2024'!$I$9:$I$874,B105)</f>
        <v>0</v>
      </c>
      <c r="X105" s="30">
        <f>COUNTIFS('AT. MEDICAS 2024'!$A$9:$A$874,"22/04/2025",'AT. MEDICAS 2024'!$I$9:$I$874,B105)</f>
        <v>0</v>
      </c>
      <c r="Y105" s="30">
        <f>COUNTIFS('AT. MEDICAS 2024'!$A$9:$A$874,"23/04/2025",'AT. MEDICAS 2024'!$I$9:$I$874,B105)</f>
        <v>0</v>
      </c>
      <c r="Z105" s="30">
        <f>COUNTIFS('AT. MEDICAS 2024'!$A$9:$A$874,"24/04/2025",'AT. MEDICAS 2024'!$I$9:$I$874,B105)</f>
        <v>0</v>
      </c>
      <c r="AA105" s="30">
        <f>COUNTIFS('AT. MEDICAS 2024'!$A$9:$A$874,"25/04/2025",'AT. MEDICAS 2024'!$I$9:$I$874,B105)</f>
        <v>0</v>
      </c>
      <c r="AB105" s="30">
        <f>COUNTIFS('AT. MEDICAS 2024'!$A$9:$A$874,"26/04/2025",'AT. MEDICAS 2024'!$I$9:$I$874,B105)</f>
        <v>0</v>
      </c>
      <c r="AC105" s="30">
        <f>COUNTIFS('AT. MEDICAS 2024'!$A$9:$A$874,"27/04/2025",'AT. MEDICAS 2024'!$I$9:$I$874,B105)</f>
        <v>0</v>
      </c>
      <c r="AD105" s="30">
        <f>COUNTIFS('AT. MEDICAS 2024'!$A$9:$A$874,"28/04/2025",'AT. MEDICAS 2024'!$I$9:$I$874,B105)</f>
        <v>0</v>
      </c>
      <c r="AE105" s="30">
        <f>COUNTIFS('AT. MEDICAS 2024'!$A$9:$A$874,"29/04/2025",'AT. MEDICAS 2024'!$I$9:$I$874,B105)</f>
        <v>0</v>
      </c>
      <c r="AF105" s="30">
        <f>COUNTIFS('AT. MEDICAS 2024'!$A$9:$A$874,"30/04/2025",'AT. MEDICAS 2024'!$I$9:$I$874,B105)</f>
        <v>0</v>
      </c>
      <c r="AG105" s="30"/>
      <c r="AH105" s="55">
        <f t="shared" si="17"/>
        <v>0</v>
      </c>
    </row>
    <row r="106" spans="1:34" ht="18.600000000000001" customHeight="1" thickBot="1" x14ac:dyDescent="0.3">
      <c r="A106" s="92"/>
      <c r="B106" s="93"/>
      <c r="C106" s="55">
        <f>SUM(C86:C105)</f>
        <v>0</v>
      </c>
      <c r="D106" s="55">
        <f t="shared" ref="D106:AE106" si="18">SUM(D86:D105)</f>
        <v>0</v>
      </c>
      <c r="E106" s="55">
        <f t="shared" si="18"/>
        <v>0</v>
      </c>
      <c r="F106" s="55">
        <f t="shared" si="18"/>
        <v>0</v>
      </c>
      <c r="G106" s="55">
        <f t="shared" si="18"/>
        <v>0</v>
      </c>
      <c r="H106" s="55">
        <f t="shared" si="18"/>
        <v>0</v>
      </c>
      <c r="I106" s="55">
        <f t="shared" si="18"/>
        <v>0</v>
      </c>
      <c r="J106" s="55">
        <f t="shared" si="18"/>
        <v>0</v>
      </c>
      <c r="K106" s="55">
        <f t="shared" si="18"/>
        <v>0</v>
      </c>
      <c r="L106" s="55">
        <f t="shared" si="18"/>
        <v>0</v>
      </c>
      <c r="M106" s="55">
        <f t="shared" si="18"/>
        <v>0</v>
      </c>
      <c r="N106" s="55">
        <f t="shared" si="18"/>
        <v>0</v>
      </c>
      <c r="O106" s="55">
        <f t="shared" si="18"/>
        <v>0</v>
      </c>
      <c r="P106" s="55">
        <f t="shared" si="18"/>
        <v>0</v>
      </c>
      <c r="Q106" s="55">
        <f t="shared" si="18"/>
        <v>0</v>
      </c>
      <c r="R106" s="55">
        <f t="shared" si="18"/>
        <v>0</v>
      </c>
      <c r="S106" s="55">
        <f t="shared" si="18"/>
        <v>0</v>
      </c>
      <c r="T106" s="55">
        <f t="shared" si="18"/>
        <v>0</v>
      </c>
      <c r="U106" s="55">
        <f t="shared" si="18"/>
        <v>0</v>
      </c>
      <c r="V106" s="55">
        <f t="shared" si="18"/>
        <v>0</v>
      </c>
      <c r="W106" s="55">
        <f t="shared" si="18"/>
        <v>0</v>
      </c>
      <c r="X106" s="55">
        <f t="shared" si="18"/>
        <v>0</v>
      </c>
      <c r="Y106" s="55">
        <f t="shared" si="18"/>
        <v>0</v>
      </c>
      <c r="Z106" s="55">
        <f t="shared" si="18"/>
        <v>0</v>
      </c>
      <c r="AA106" s="55">
        <f t="shared" si="18"/>
        <v>0</v>
      </c>
      <c r="AB106" s="55">
        <f t="shared" si="18"/>
        <v>0</v>
      </c>
      <c r="AC106" s="55">
        <f t="shared" si="18"/>
        <v>0</v>
      </c>
      <c r="AD106" s="55">
        <f t="shared" si="18"/>
        <v>0</v>
      </c>
      <c r="AE106" s="55">
        <f t="shared" si="18"/>
        <v>0</v>
      </c>
      <c r="AF106" s="55">
        <f>SUM(AF86:AF105)</f>
        <v>0</v>
      </c>
      <c r="AG106" s="55">
        <f>SUM(AG86:AG105)</f>
        <v>0</v>
      </c>
      <c r="AH106" s="30">
        <f>SUM(AH86:AH105)</f>
        <v>0</v>
      </c>
    </row>
    <row r="108" spans="1:34" ht="29.4" customHeight="1" x14ac:dyDescent="0.25">
      <c r="A108" s="92" t="s">
        <v>174</v>
      </c>
      <c r="B108" s="93"/>
      <c r="C108" s="111">
        <v>45778</v>
      </c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3" t="s">
        <v>178</v>
      </c>
    </row>
    <row r="109" spans="1:34" ht="13.8" thickBot="1" x14ac:dyDescent="0.3">
      <c r="A109" s="115" t="s">
        <v>175</v>
      </c>
      <c r="B109" s="115" t="s">
        <v>176</v>
      </c>
      <c r="C109" s="45">
        <v>1</v>
      </c>
      <c r="D109" s="45">
        <v>2</v>
      </c>
      <c r="E109" s="45">
        <v>3</v>
      </c>
      <c r="F109" s="45">
        <v>4</v>
      </c>
      <c r="G109" s="45">
        <v>5</v>
      </c>
      <c r="H109" s="45">
        <v>6</v>
      </c>
      <c r="I109" s="45">
        <v>7</v>
      </c>
      <c r="J109" s="45">
        <v>8</v>
      </c>
      <c r="K109" s="45">
        <v>9</v>
      </c>
      <c r="L109" s="45">
        <v>10</v>
      </c>
      <c r="M109" s="45">
        <v>11</v>
      </c>
      <c r="N109" s="45">
        <v>12</v>
      </c>
      <c r="O109" s="45">
        <v>13</v>
      </c>
      <c r="P109" s="45">
        <v>14</v>
      </c>
      <c r="Q109" s="45">
        <v>15</v>
      </c>
      <c r="R109" s="45">
        <v>16</v>
      </c>
      <c r="S109" s="45">
        <v>17</v>
      </c>
      <c r="T109" s="45">
        <v>18</v>
      </c>
      <c r="U109" s="45">
        <v>19</v>
      </c>
      <c r="V109" s="45">
        <v>20</v>
      </c>
      <c r="W109" s="45">
        <v>21</v>
      </c>
      <c r="X109" s="45">
        <v>22</v>
      </c>
      <c r="Y109" s="45">
        <v>23</v>
      </c>
      <c r="Z109" s="45">
        <v>24</v>
      </c>
      <c r="AA109" s="45">
        <v>25</v>
      </c>
      <c r="AB109" s="45">
        <v>26</v>
      </c>
      <c r="AC109" s="45">
        <v>27</v>
      </c>
      <c r="AD109" s="45">
        <v>28</v>
      </c>
      <c r="AE109" s="45">
        <v>29</v>
      </c>
      <c r="AF109" s="45">
        <v>30</v>
      </c>
      <c r="AG109" s="45" t="s">
        <v>177</v>
      </c>
      <c r="AH109" s="114"/>
    </row>
    <row r="110" spans="1:34" ht="13.8" thickBot="1" x14ac:dyDescent="0.3">
      <c r="A110" s="116"/>
      <c r="B110" s="116"/>
      <c r="C110" s="28" t="s">
        <v>180</v>
      </c>
      <c r="D110" s="28" t="s">
        <v>181</v>
      </c>
      <c r="E110" s="28" t="s">
        <v>182</v>
      </c>
      <c r="F110" s="28" t="s">
        <v>183</v>
      </c>
      <c r="G110" s="28" t="s">
        <v>179</v>
      </c>
      <c r="H110" s="28" t="s">
        <v>24</v>
      </c>
      <c r="I110" s="28" t="s">
        <v>24</v>
      </c>
      <c r="J110" s="28" t="s">
        <v>180</v>
      </c>
      <c r="K110" s="28" t="s">
        <v>181</v>
      </c>
      <c r="L110" s="28" t="s">
        <v>182</v>
      </c>
      <c r="M110" s="28" t="s">
        <v>183</v>
      </c>
      <c r="N110" s="28" t="s">
        <v>179</v>
      </c>
      <c r="O110" s="28" t="s">
        <v>24</v>
      </c>
      <c r="P110" s="28" t="s">
        <v>24</v>
      </c>
      <c r="Q110" s="28" t="s">
        <v>180</v>
      </c>
      <c r="R110" s="28" t="s">
        <v>181</v>
      </c>
      <c r="S110" s="28" t="s">
        <v>182</v>
      </c>
      <c r="T110" s="28" t="s">
        <v>183</v>
      </c>
      <c r="U110" s="28" t="s">
        <v>179</v>
      </c>
      <c r="V110" s="28" t="s">
        <v>24</v>
      </c>
      <c r="W110" s="28" t="s">
        <v>24</v>
      </c>
      <c r="X110" s="28" t="s">
        <v>180</v>
      </c>
      <c r="Y110" s="28" t="s">
        <v>181</v>
      </c>
      <c r="Z110" s="28" t="s">
        <v>182</v>
      </c>
      <c r="AA110" s="28" t="s">
        <v>183</v>
      </c>
      <c r="AB110" s="28" t="s">
        <v>179</v>
      </c>
      <c r="AC110" s="28" t="s">
        <v>24</v>
      </c>
      <c r="AD110" s="28" t="s">
        <v>24</v>
      </c>
      <c r="AE110" s="28" t="s">
        <v>180</v>
      </c>
      <c r="AF110" s="28" t="s">
        <v>181</v>
      </c>
      <c r="AG110" s="28" t="s">
        <v>182</v>
      </c>
      <c r="AH110" s="17" t="s">
        <v>184</v>
      </c>
    </row>
    <row r="111" spans="1:34" ht="13.8" thickBot="1" x14ac:dyDescent="0.3">
      <c r="A111" s="41">
        <v>1</v>
      </c>
      <c r="B111" s="54" t="s">
        <v>185</v>
      </c>
      <c r="C111" s="30">
        <f>COUNTIFS('AT. MEDICAS 2024'!$A$9:$A$874,"01/05/2025",'AT. MEDICAS 2024'!$I$9:$I$874,B111)</f>
        <v>0</v>
      </c>
      <c r="D111" s="30">
        <f>COUNTIFS('AT. MEDICAS 2024'!$A$9:$A$874,"02/05/2025",'AT. MEDICAS 2024'!$I$9:$I$874,B111)</f>
        <v>0</v>
      </c>
      <c r="E111" s="30">
        <f>COUNTIFS('AT. MEDICAS 2024'!$A$9:$A$874,"03/05/2025",'AT. MEDICAS 2024'!$I$9:$I$874,B111)</f>
        <v>0</v>
      </c>
      <c r="F111" s="30">
        <f>COUNTIFS('AT. MEDICAS 2024'!$A$9:$A$874,"04/05/2025",'AT. MEDICAS 2024'!$I$9:$I$874,B111)</f>
        <v>0</v>
      </c>
      <c r="G111" s="30">
        <f>COUNTIFS('AT. MEDICAS 2024'!$A$9:$A$874,"05/05/2025",'AT. MEDICAS 2024'!$I$9:$I$874,B111)</f>
        <v>0</v>
      </c>
      <c r="H111" s="30">
        <f>COUNTIFS('AT. MEDICAS 2024'!$A$9:$A$874,"06/05/2025",'AT. MEDICAS 2024'!$I$9:$I$874,B111)</f>
        <v>0</v>
      </c>
      <c r="I111" s="30">
        <f>COUNTIFS('AT. MEDICAS 2024'!$A$9:$A$874,"07/05/2025",'AT. MEDICAS 2024'!$I$9:$I$874,B111)</f>
        <v>0</v>
      </c>
      <c r="J111" s="30">
        <f>COUNTIFS('AT. MEDICAS 2024'!$A$9:$A$874,"08/05/2025",'AT. MEDICAS 2024'!$I$9:$I$874,B111)</f>
        <v>0</v>
      </c>
      <c r="K111" s="30">
        <f>COUNTIFS('AT. MEDICAS 2024'!$A$9:$A$874,"09/05/2025",'AT. MEDICAS 2024'!$I$9:$I$874,B111)</f>
        <v>0</v>
      </c>
      <c r="L111" s="30">
        <f>COUNTIFS('AT. MEDICAS 2024'!$A$9:$A$874,"10/05/2025",'AT. MEDICAS 2024'!$I$9:$I$874,B111)</f>
        <v>0</v>
      </c>
      <c r="M111" s="30">
        <f>COUNTIFS('AT. MEDICAS 2024'!$A$9:$A$874,"11/05/2025",'AT. MEDICAS 2024'!$I$9:$I$874,B111)</f>
        <v>0</v>
      </c>
      <c r="N111" s="30">
        <f>COUNTIFS('AT. MEDICAS 2024'!$A$9:$A$874,"12/05/2025",'AT. MEDICAS 2024'!$I$9:$I$874,B111)</f>
        <v>0</v>
      </c>
      <c r="O111" s="30">
        <f>COUNTIFS('AT. MEDICAS 2024'!$A$9:$A$874,"13/05/2025",'AT. MEDICAS 2024'!$I$9:$I$874,B111)</f>
        <v>0</v>
      </c>
      <c r="P111" s="30">
        <f>COUNTIFS('AT. MEDICAS 2024'!$A$9:$A$874,"14/05/2025",'AT. MEDICAS 2024'!$I$9:$I$874,B111)</f>
        <v>0</v>
      </c>
      <c r="Q111" s="30">
        <f>COUNTIFS('AT. MEDICAS 2024'!$A$9:$A$874,"15/05/2025",'AT. MEDICAS 2024'!$I$9:$I$874,B111)</f>
        <v>0</v>
      </c>
      <c r="R111" s="30">
        <f>COUNTIFS('AT. MEDICAS 2024'!$A$9:$A$874,"16/05/2025",'AT. MEDICAS 2024'!$I$9:$I$874,B111)</f>
        <v>0</v>
      </c>
      <c r="S111" s="30">
        <f>COUNTIFS('AT. MEDICAS 2024'!$A$9:$A$874,"17/05/2025",'AT. MEDICAS 2024'!$I$9:$I$874,B111)</f>
        <v>0</v>
      </c>
      <c r="T111" s="30">
        <f>COUNTIFS('AT. MEDICAS 2024'!$A$9:$A$874,"18/05/2025",'AT. MEDICAS 2024'!$I$9:$I$874,B111)</f>
        <v>0</v>
      </c>
      <c r="U111" s="30">
        <f>COUNTIFS('AT. MEDICAS 2024'!$A$9:$A$874,"19/05/2025",'AT. MEDICAS 2024'!$I$9:$I$874,B111)</f>
        <v>0</v>
      </c>
      <c r="V111" s="30">
        <f>COUNTIFS('AT. MEDICAS 2024'!$A$9:$A$874,"20/05/2025",'AT. MEDICAS 2024'!$I$9:$I$874,B111)</f>
        <v>0</v>
      </c>
      <c r="W111" s="30">
        <f>COUNTIFS('AT. MEDICAS 2024'!$A$9:$A$874,"21/05/2025",'AT. MEDICAS 2024'!$I$9:$I$874,B111)</f>
        <v>0</v>
      </c>
      <c r="X111" s="30">
        <f>COUNTIFS('AT. MEDICAS 2024'!$A$9:$A$874,"22/05/2025",'AT. MEDICAS 2024'!$I$9:$I$874,B111)</f>
        <v>0</v>
      </c>
      <c r="Y111" s="30">
        <f>COUNTIFS('AT. MEDICAS 2024'!$A$9:$A$874,"23/05/2025",'AT. MEDICAS 2024'!$I$9:$I$874,B111)</f>
        <v>0</v>
      </c>
      <c r="Z111" s="30">
        <f>COUNTIFS('AT. MEDICAS 2024'!$A$9:$A$874,"24/05/2025",'AT. MEDICAS 2024'!$I$9:$I$874,B111)</f>
        <v>0</v>
      </c>
      <c r="AA111" s="30">
        <f>COUNTIFS('AT. MEDICAS 2024'!$A$9:$A$874,"25/05/2025",'AT. MEDICAS 2024'!$I$9:$I$874,B111)</f>
        <v>0</v>
      </c>
      <c r="AB111" s="30">
        <f>COUNTIFS('AT. MEDICAS 2024'!$A$9:$A$874,"26/05/2025",'AT. MEDICAS 2024'!$I$9:$I$874,B111)</f>
        <v>0</v>
      </c>
      <c r="AC111" s="30">
        <f>COUNTIFS('AT. MEDICAS 2024'!$A$9:$A$874,"27/05/2025",'AT. MEDICAS 2024'!$I$9:$I$874,B111)</f>
        <v>0</v>
      </c>
      <c r="AD111" s="30">
        <f>COUNTIFS('AT. MEDICAS 2024'!$A$9:$A$874,"28/05/2025",'AT. MEDICAS 2024'!$I$9:$I$874,B111)</f>
        <v>0</v>
      </c>
      <c r="AE111" s="30">
        <f>COUNTIFS('AT. MEDICAS 2024'!$A$9:$A$874,"29/05/2025",'AT. MEDICAS 2024'!$I$9:$I$874,B111)</f>
        <v>0</v>
      </c>
      <c r="AF111" s="30">
        <f>COUNTIFS('AT. MEDICAS 2024'!$A$9:$A$874,"30/05/2025",'AT. MEDICAS 2024'!$I$9:$I$874,B111)</f>
        <v>0</v>
      </c>
      <c r="AG111" s="30">
        <f>COUNTIFS('AT. MEDICAS 2024'!$A$9:$A$874,"31/05/2025",'AT. MEDICAS 2024'!$I$9:$I$874,B111)</f>
        <v>0</v>
      </c>
      <c r="AH111" s="55">
        <f t="shared" ref="AH111:AH130" si="19">SUM(C111:AG111)</f>
        <v>0</v>
      </c>
    </row>
    <row r="112" spans="1:34" ht="13.8" thickBot="1" x14ac:dyDescent="0.3">
      <c r="A112" s="41">
        <v>2</v>
      </c>
      <c r="B112" s="54" t="s">
        <v>186</v>
      </c>
      <c r="C112" s="30">
        <f>COUNTIFS('AT. MEDICAS 2024'!$A$9:$A$874,"01/05/2025",'AT. MEDICAS 2024'!$I$9:$I$874,B112)</f>
        <v>0</v>
      </c>
      <c r="D112" s="30">
        <f>COUNTIFS('AT. MEDICAS 2024'!$A$9:$A$874,"02/05/2025",'AT. MEDICAS 2024'!$I$9:$I$874,B112)</f>
        <v>0</v>
      </c>
      <c r="E112" s="30">
        <f>COUNTIFS('AT. MEDICAS 2024'!$A$9:$A$874,"03/05/2025",'AT. MEDICAS 2024'!$I$9:$I$874,B112)</f>
        <v>0</v>
      </c>
      <c r="F112" s="30">
        <f>COUNTIFS('AT. MEDICAS 2024'!$A$9:$A$874,"04/05/2025",'AT. MEDICAS 2024'!$I$9:$I$874,B112)</f>
        <v>0</v>
      </c>
      <c r="G112" s="30">
        <f>COUNTIFS('AT. MEDICAS 2024'!$A$9:$A$874,"05/05/2025",'AT. MEDICAS 2024'!$I$9:$I$874,B112)</f>
        <v>0</v>
      </c>
      <c r="H112" s="30">
        <f>COUNTIFS('AT. MEDICAS 2024'!$A$9:$A$874,"06/05/2025",'AT. MEDICAS 2024'!$I$9:$I$874,B112)</f>
        <v>0</v>
      </c>
      <c r="I112" s="30">
        <f>COUNTIFS('AT. MEDICAS 2024'!$A$9:$A$874,"07/05/2025",'AT. MEDICAS 2024'!$I$9:$I$874,B112)</f>
        <v>0</v>
      </c>
      <c r="J112" s="30">
        <f>COUNTIFS('AT. MEDICAS 2024'!$A$9:$A$874,"08/05/2025",'AT. MEDICAS 2024'!$I$9:$I$874,B112)</f>
        <v>0</v>
      </c>
      <c r="K112" s="30">
        <f>COUNTIFS('AT. MEDICAS 2024'!$A$9:$A$874,"09/05/2025",'AT. MEDICAS 2024'!$I$9:$I$874,B112)</f>
        <v>0</v>
      </c>
      <c r="L112" s="30">
        <f>COUNTIFS('AT. MEDICAS 2024'!$A$9:$A$874,"10/05/2025",'AT. MEDICAS 2024'!$I$9:$I$874,B112)</f>
        <v>0</v>
      </c>
      <c r="M112" s="30">
        <f>COUNTIFS('AT. MEDICAS 2024'!$A$9:$A$874,"11/05/2025",'AT. MEDICAS 2024'!$I$9:$I$874,B112)</f>
        <v>0</v>
      </c>
      <c r="N112" s="30">
        <f>COUNTIFS('AT. MEDICAS 2024'!$A$9:$A$874,"12/05/2025",'AT. MEDICAS 2024'!$I$9:$I$874,B112)</f>
        <v>0</v>
      </c>
      <c r="O112" s="30">
        <f>COUNTIFS('AT. MEDICAS 2024'!$A$9:$A$874,"13/05/2025",'AT. MEDICAS 2024'!$I$9:$I$874,B112)</f>
        <v>0</v>
      </c>
      <c r="P112" s="30">
        <f>COUNTIFS('AT. MEDICAS 2024'!$A$9:$A$874,"14/05/2025",'AT. MEDICAS 2024'!$I$9:$I$874,B112)</f>
        <v>0</v>
      </c>
      <c r="Q112" s="30">
        <f>COUNTIFS('AT. MEDICAS 2024'!$A$9:$A$874,"15/05/2025",'AT. MEDICAS 2024'!$I$9:$I$874,B112)</f>
        <v>0</v>
      </c>
      <c r="R112" s="30">
        <f>COUNTIFS('AT. MEDICAS 2024'!$A$9:$A$874,"16/05/2025",'AT. MEDICAS 2024'!$I$9:$I$874,B112)</f>
        <v>0</v>
      </c>
      <c r="S112" s="30">
        <f>COUNTIFS('AT. MEDICAS 2024'!$A$9:$A$874,"17/05/2025",'AT. MEDICAS 2024'!$I$9:$I$874,B112)</f>
        <v>0</v>
      </c>
      <c r="T112" s="30">
        <f>COUNTIFS('AT. MEDICAS 2024'!$A$9:$A$874,"18/05/2025",'AT. MEDICAS 2024'!$I$9:$I$874,B112)</f>
        <v>0</v>
      </c>
      <c r="U112" s="30">
        <f>COUNTIFS('AT. MEDICAS 2024'!$A$9:$A$874,"19/05/2025",'AT. MEDICAS 2024'!$I$9:$I$874,B112)</f>
        <v>0</v>
      </c>
      <c r="V112" s="30">
        <f>COUNTIFS('AT. MEDICAS 2024'!$A$9:$A$874,"20/05/2025",'AT. MEDICAS 2024'!$I$9:$I$874,B112)</f>
        <v>0</v>
      </c>
      <c r="W112" s="30">
        <f>COUNTIFS('AT. MEDICAS 2024'!$A$9:$A$874,"21/05/2025",'AT. MEDICAS 2024'!$I$9:$I$874,B112)</f>
        <v>0</v>
      </c>
      <c r="X112" s="30">
        <f>COUNTIFS('AT. MEDICAS 2024'!$A$9:$A$874,"22/05/2025",'AT. MEDICAS 2024'!$I$9:$I$874,B112)</f>
        <v>0</v>
      </c>
      <c r="Y112" s="30">
        <f>COUNTIFS('AT. MEDICAS 2024'!$A$9:$A$874,"23/05/2025",'AT. MEDICAS 2024'!$I$9:$I$874,B112)</f>
        <v>0</v>
      </c>
      <c r="Z112" s="30">
        <f>COUNTIFS('AT. MEDICAS 2024'!$A$9:$A$874,"24/05/2025",'AT. MEDICAS 2024'!$I$9:$I$874,B112)</f>
        <v>0</v>
      </c>
      <c r="AA112" s="30">
        <f>COUNTIFS('AT. MEDICAS 2024'!$A$9:$A$874,"25/05/2025",'AT. MEDICAS 2024'!$I$9:$I$874,B112)</f>
        <v>0</v>
      </c>
      <c r="AB112" s="30">
        <f>COUNTIFS('AT. MEDICAS 2024'!$A$9:$A$874,"26/05/2025",'AT. MEDICAS 2024'!$I$9:$I$874,B112)</f>
        <v>0</v>
      </c>
      <c r="AC112" s="30">
        <f>COUNTIFS('AT. MEDICAS 2024'!$A$9:$A$874,"27/05/2025",'AT. MEDICAS 2024'!$I$9:$I$874,B112)</f>
        <v>0</v>
      </c>
      <c r="AD112" s="30">
        <f>COUNTIFS('AT. MEDICAS 2024'!$A$9:$A$874,"28/05/2025",'AT. MEDICAS 2024'!$I$9:$I$874,B112)</f>
        <v>0</v>
      </c>
      <c r="AE112" s="30">
        <f>COUNTIFS('AT. MEDICAS 2024'!$A$9:$A$874,"29/05/2025",'AT. MEDICAS 2024'!$I$9:$I$874,B112)</f>
        <v>0</v>
      </c>
      <c r="AF112" s="30">
        <f>COUNTIFS('AT. MEDICAS 2024'!$A$9:$A$874,"30/05/2025",'AT. MEDICAS 2024'!$I$9:$I$874,B112)</f>
        <v>0</v>
      </c>
      <c r="AG112" s="30">
        <f>COUNTIFS('AT. MEDICAS 2024'!$A$9:$A$874,"31/05/2025",'AT. MEDICAS 2024'!$I$9:$I$874,B112)</f>
        <v>0</v>
      </c>
      <c r="AH112" s="55">
        <f t="shared" si="19"/>
        <v>0</v>
      </c>
    </row>
    <row r="113" spans="1:34" ht="13.8" thickBot="1" x14ac:dyDescent="0.3">
      <c r="A113" s="41">
        <v>3</v>
      </c>
      <c r="B113" s="54" t="s">
        <v>94</v>
      </c>
      <c r="C113" s="30">
        <f>COUNTIFS('AT. MEDICAS 2024'!$A$9:$A$874,"01/05/2025",'AT. MEDICAS 2024'!$I$9:$I$874,B113)</f>
        <v>0</v>
      </c>
      <c r="D113" s="30">
        <f>COUNTIFS('AT. MEDICAS 2024'!$A$9:$A$874,"02/05/2025",'AT. MEDICAS 2024'!$I$9:$I$874,B113)</f>
        <v>0</v>
      </c>
      <c r="E113" s="30">
        <f>COUNTIFS('AT. MEDICAS 2024'!$A$9:$A$874,"03/05/2025",'AT. MEDICAS 2024'!$I$9:$I$874,B113)</f>
        <v>0</v>
      </c>
      <c r="F113" s="30">
        <f>COUNTIFS('AT. MEDICAS 2024'!$A$9:$A$874,"04/05/2025",'AT. MEDICAS 2024'!$I$9:$I$874,B113)</f>
        <v>0</v>
      </c>
      <c r="G113" s="30">
        <f>COUNTIFS('AT. MEDICAS 2024'!$A$9:$A$874,"05/05/2025",'AT. MEDICAS 2024'!$I$9:$I$874,B113)</f>
        <v>0</v>
      </c>
      <c r="H113" s="30">
        <f>COUNTIFS('AT. MEDICAS 2024'!$A$9:$A$874,"06/05/2025",'AT. MEDICAS 2024'!$I$9:$I$874,B113)</f>
        <v>0</v>
      </c>
      <c r="I113" s="30">
        <f>COUNTIFS('AT. MEDICAS 2024'!$A$9:$A$874,"07/05/2025",'AT. MEDICAS 2024'!$I$9:$I$874,B113)</f>
        <v>0</v>
      </c>
      <c r="J113" s="30">
        <f>COUNTIFS('AT. MEDICAS 2024'!$A$9:$A$874,"08/05/2025",'AT. MEDICAS 2024'!$I$9:$I$874,B113)</f>
        <v>0</v>
      </c>
      <c r="K113" s="30">
        <f>COUNTIFS('AT. MEDICAS 2024'!$A$9:$A$874,"09/05/2025",'AT. MEDICAS 2024'!$I$9:$I$874,B113)</f>
        <v>0</v>
      </c>
      <c r="L113" s="30">
        <f>COUNTIFS('AT. MEDICAS 2024'!$A$9:$A$874,"10/05/2025",'AT. MEDICAS 2024'!$I$9:$I$874,B113)</f>
        <v>0</v>
      </c>
      <c r="M113" s="30">
        <f>COUNTIFS('AT. MEDICAS 2024'!$A$9:$A$874,"11/05/2025",'AT. MEDICAS 2024'!$I$9:$I$874,B113)</f>
        <v>0</v>
      </c>
      <c r="N113" s="30">
        <f>COUNTIFS('AT. MEDICAS 2024'!$A$9:$A$874,"12/05/2025",'AT. MEDICAS 2024'!$I$9:$I$874,B113)</f>
        <v>0</v>
      </c>
      <c r="O113" s="30">
        <f>COUNTIFS('AT. MEDICAS 2024'!$A$9:$A$874,"13/05/2025",'AT. MEDICAS 2024'!$I$9:$I$874,B113)</f>
        <v>0</v>
      </c>
      <c r="P113" s="30">
        <f>COUNTIFS('AT. MEDICAS 2024'!$A$9:$A$874,"14/05/2025",'AT. MEDICAS 2024'!$I$9:$I$874,B113)</f>
        <v>0</v>
      </c>
      <c r="Q113" s="30">
        <f>COUNTIFS('AT. MEDICAS 2024'!$A$9:$A$874,"15/05/2025",'AT. MEDICAS 2024'!$I$9:$I$874,B113)</f>
        <v>0</v>
      </c>
      <c r="R113" s="30">
        <f>COUNTIFS('AT. MEDICAS 2024'!$A$9:$A$874,"16/05/2025",'AT. MEDICAS 2024'!$I$9:$I$874,B113)</f>
        <v>0</v>
      </c>
      <c r="S113" s="30">
        <f>COUNTIFS('AT. MEDICAS 2024'!$A$9:$A$874,"17/05/2025",'AT. MEDICAS 2024'!$I$9:$I$874,B113)</f>
        <v>0</v>
      </c>
      <c r="T113" s="30">
        <f>COUNTIFS('AT. MEDICAS 2024'!$A$9:$A$874,"18/05/2025",'AT. MEDICAS 2024'!$I$9:$I$874,B113)</f>
        <v>0</v>
      </c>
      <c r="U113" s="30">
        <f>COUNTIFS('AT. MEDICAS 2024'!$A$9:$A$874,"19/05/2025",'AT. MEDICAS 2024'!$I$9:$I$874,B113)</f>
        <v>0</v>
      </c>
      <c r="V113" s="30">
        <f>COUNTIFS('AT. MEDICAS 2024'!$A$9:$A$874,"20/05/2025",'AT. MEDICAS 2024'!$I$9:$I$874,B113)</f>
        <v>0</v>
      </c>
      <c r="W113" s="30">
        <f>COUNTIFS('AT. MEDICAS 2024'!$A$9:$A$874,"21/05/2025",'AT. MEDICAS 2024'!$I$9:$I$874,B113)</f>
        <v>0</v>
      </c>
      <c r="X113" s="30">
        <f>COUNTIFS('AT. MEDICAS 2024'!$A$9:$A$874,"22/05/2025",'AT. MEDICAS 2024'!$I$9:$I$874,B113)</f>
        <v>0</v>
      </c>
      <c r="Y113" s="30">
        <f>COUNTIFS('AT. MEDICAS 2024'!$A$9:$A$874,"23/05/2025",'AT. MEDICAS 2024'!$I$9:$I$874,B113)</f>
        <v>0</v>
      </c>
      <c r="Z113" s="30">
        <f>COUNTIFS('AT. MEDICAS 2024'!$A$9:$A$874,"24/05/2025",'AT. MEDICAS 2024'!$I$9:$I$874,B113)</f>
        <v>0</v>
      </c>
      <c r="AA113" s="30">
        <f>COUNTIFS('AT. MEDICAS 2024'!$A$9:$A$874,"25/05/2025",'AT. MEDICAS 2024'!$I$9:$I$874,B113)</f>
        <v>0</v>
      </c>
      <c r="AB113" s="30">
        <f>COUNTIFS('AT. MEDICAS 2024'!$A$9:$A$874,"26/05/2025",'AT. MEDICAS 2024'!$I$9:$I$874,B113)</f>
        <v>0</v>
      </c>
      <c r="AC113" s="30">
        <f>COUNTIFS('AT. MEDICAS 2024'!$A$9:$A$874,"27/05/2025",'AT. MEDICAS 2024'!$I$9:$I$874,B113)</f>
        <v>0</v>
      </c>
      <c r="AD113" s="30">
        <f>COUNTIFS('AT. MEDICAS 2024'!$A$9:$A$874,"28/05/2025",'AT. MEDICAS 2024'!$I$9:$I$874,B113)</f>
        <v>0</v>
      </c>
      <c r="AE113" s="30">
        <f>COUNTIFS('AT. MEDICAS 2024'!$A$9:$A$874,"29/05/2025",'AT. MEDICAS 2024'!$I$9:$I$874,B113)</f>
        <v>0</v>
      </c>
      <c r="AF113" s="30">
        <f>COUNTIFS('AT. MEDICAS 2024'!$A$9:$A$874,"30/05/2025",'AT. MEDICAS 2024'!$I$9:$I$874,B113)</f>
        <v>0</v>
      </c>
      <c r="AG113" s="30">
        <f>COUNTIFS('AT. MEDICAS 2024'!$A$9:$A$874,"31/05/2025",'AT. MEDICAS 2024'!$I$9:$I$874,B113)</f>
        <v>0</v>
      </c>
      <c r="AH113" s="55">
        <f t="shared" si="19"/>
        <v>0</v>
      </c>
    </row>
    <row r="114" spans="1:34" ht="13.8" thickBot="1" x14ac:dyDescent="0.3">
      <c r="A114" s="41">
        <v>4</v>
      </c>
      <c r="B114" s="54" t="s">
        <v>50</v>
      </c>
      <c r="C114" s="30">
        <f>COUNTIFS('AT. MEDICAS 2024'!$A$9:$A$874,"01/05/2025",'AT. MEDICAS 2024'!$I$9:$I$874,B114)</f>
        <v>0</v>
      </c>
      <c r="D114" s="30">
        <f>COUNTIFS('AT. MEDICAS 2024'!$A$9:$A$874,"02/05/2025",'AT. MEDICAS 2024'!$I$9:$I$874,B114)</f>
        <v>0</v>
      </c>
      <c r="E114" s="30">
        <f>COUNTIFS('AT. MEDICAS 2024'!$A$9:$A$874,"03/05/2025",'AT. MEDICAS 2024'!$I$9:$I$874,B114)</f>
        <v>0</v>
      </c>
      <c r="F114" s="30">
        <f>COUNTIFS('AT. MEDICAS 2024'!$A$9:$A$874,"04/05/2025",'AT. MEDICAS 2024'!$I$9:$I$874,B114)</f>
        <v>0</v>
      </c>
      <c r="G114" s="30">
        <f>COUNTIFS('AT. MEDICAS 2024'!$A$9:$A$874,"05/05/2025",'AT. MEDICAS 2024'!$I$9:$I$874,B114)</f>
        <v>0</v>
      </c>
      <c r="H114" s="30">
        <f>COUNTIFS('AT. MEDICAS 2024'!$A$9:$A$874,"06/05/2025",'AT. MEDICAS 2024'!$I$9:$I$874,B114)</f>
        <v>0</v>
      </c>
      <c r="I114" s="30">
        <f>COUNTIFS('AT. MEDICAS 2024'!$A$9:$A$874,"07/05/2025",'AT. MEDICAS 2024'!$I$9:$I$874,B114)</f>
        <v>0</v>
      </c>
      <c r="J114" s="30">
        <f>COUNTIFS('AT. MEDICAS 2024'!$A$9:$A$874,"08/05/2025",'AT. MEDICAS 2024'!$I$9:$I$874,B114)</f>
        <v>0</v>
      </c>
      <c r="K114" s="30">
        <f>COUNTIFS('AT. MEDICAS 2024'!$A$9:$A$874,"09/05/2025",'AT. MEDICAS 2024'!$I$9:$I$874,B114)</f>
        <v>0</v>
      </c>
      <c r="L114" s="30">
        <f>COUNTIFS('AT. MEDICAS 2024'!$A$9:$A$874,"10/05/2025",'AT. MEDICAS 2024'!$I$9:$I$874,B114)</f>
        <v>0</v>
      </c>
      <c r="M114" s="30">
        <f>COUNTIFS('AT. MEDICAS 2024'!$A$9:$A$874,"11/05/2025",'AT. MEDICAS 2024'!$I$9:$I$874,B114)</f>
        <v>0</v>
      </c>
      <c r="N114" s="30">
        <f>COUNTIFS('AT. MEDICAS 2024'!$A$9:$A$874,"12/05/2025",'AT. MEDICAS 2024'!$I$9:$I$874,B114)</f>
        <v>0</v>
      </c>
      <c r="O114" s="30">
        <f>COUNTIFS('AT. MEDICAS 2024'!$A$9:$A$874,"13/05/2025",'AT. MEDICAS 2024'!$I$9:$I$874,B114)</f>
        <v>0</v>
      </c>
      <c r="P114" s="30">
        <f>COUNTIFS('AT. MEDICAS 2024'!$A$9:$A$874,"14/05/2025",'AT. MEDICAS 2024'!$I$9:$I$874,B114)</f>
        <v>0</v>
      </c>
      <c r="Q114" s="30">
        <f>COUNTIFS('AT. MEDICAS 2024'!$A$9:$A$874,"15/05/2025",'AT. MEDICAS 2024'!$I$9:$I$874,B114)</f>
        <v>0</v>
      </c>
      <c r="R114" s="30">
        <f>COUNTIFS('AT. MEDICAS 2024'!$A$9:$A$874,"16/05/2025",'AT. MEDICAS 2024'!$I$9:$I$874,B114)</f>
        <v>0</v>
      </c>
      <c r="S114" s="30">
        <f>COUNTIFS('AT. MEDICAS 2024'!$A$9:$A$874,"17/05/2025",'AT. MEDICAS 2024'!$I$9:$I$874,B114)</f>
        <v>0</v>
      </c>
      <c r="T114" s="30">
        <f>COUNTIFS('AT. MEDICAS 2024'!$A$9:$A$874,"18/05/2025",'AT. MEDICAS 2024'!$I$9:$I$874,B114)</f>
        <v>0</v>
      </c>
      <c r="U114" s="30">
        <f>COUNTIFS('AT. MEDICAS 2024'!$A$9:$A$874,"19/05/2025",'AT. MEDICAS 2024'!$I$9:$I$874,B114)</f>
        <v>0</v>
      </c>
      <c r="V114" s="30">
        <f>COUNTIFS('AT. MEDICAS 2024'!$A$9:$A$874,"20/05/2025",'AT. MEDICAS 2024'!$I$9:$I$874,B114)</f>
        <v>0</v>
      </c>
      <c r="W114" s="30">
        <f>COUNTIFS('AT. MEDICAS 2024'!$A$9:$A$874,"21/05/2025",'AT. MEDICAS 2024'!$I$9:$I$874,B114)</f>
        <v>0</v>
      </c>
      <c r="X114" s="30">
        <f>COUNTIFS('AT. MEDICAS 2024'!$A$9:$A$874,"22/05/2025",'AT. MEDICAS 2024'!$I$9:$I$874,B114)</f>
        <v>0</v>
      </c>
      <c r="Y114" s="30">
        <f>COUNTIFS('AT. MEDICAS 2024'!$A$9:$A$874,"23/05/2025",'AT. MEDICAS 2024'!$I$9:$I$874,B114)</f>
        <v>0</v>
      </c>
      <c r="Z114" s="30">
        <f>COUNTIFS('AT. MEDICAS 2024'!$A$9:$A$874,"24/05/2025",'AT. MEDICAS 2024'!$I$9:$I$874,B114)</f>
        <v>0</v>
      </c>
      <c r="AA114" s="30">
        <f>COUNTIFS('AT. MEDICAS 2024'!$A$9:$A$874,"25/05/2025",'AT. MEDICAS 2024'!$I$9:$I$874,B114)</f>
        <v>0</v>
      </c>
      <c r="AB114" s="30">
        <f>COUNTIFS('AT. MEDICAS 2024'!$A$9:$A$874,"26/05/2025",'AT. MEDICAS 2024'!$I$9:$I$874,B114)</f>
        <v>0</v>
      </c>
      <c r="AC114" s="30">
        <f>COUNTIFS('AT. MEDICAS 2024'!$A$9:$A$874,"27/05/2025",'AT. MEDICAS 2024'!$I$9:$I$874,B114)</f>
        <v>0</v>
      </c>
      <c r="AD114" s="30">
        <f>COUNTIFS('AT. MEDICAS 2024'!$A$9:$A$874,"28/05/2025",'AT. MEDICAS 2024'!$I$9:$I$874,B114)</f>
        <v>0</v>
      </c>
      <c r="AE114" s="30">
        <f>COUNTIFS('AT. MEDICAS 2024'!$A$9:$A$874,"29/05/2025",'AT. MEDICAS 2024'!$I$9:$I$874,B114)</f>
        <v>0</v>
      </c>
      <c r="AF114" s="30">
        <f>COUNTIFS('AT. MEDICAS 2024'!$A$9:$A$874,"30/05/2025",'AT. MEDICAS 2024'!$I$9:$I$874,B114)</f>
        <v>0</v>
      </c>
      <c r="AG114" s="30">
        <f>COUNTIFS('AT. MEDICAS 2024'!$A$9:$A$874,"31/05/2025",'AT. MEDICAS 2024'!$I$9:$I$874,B114)</f>
        <v>0</v>
      </c>
      <c r="AH114" s="55">
        <f t="shared" si="19"/>
        <v>0</v>
      </c>
    </row>
    <row r="115" spans="1:34" ht="13.8" thickBot="1" x14ac:dyDescent="0.3">
      <c r="A115" s="41">
        <v>5</v>
      </c>
      <c r="B115" s="54" t="s">
        <v>187</v>
      </c>
      <c r="C115" s="30">
        <f>COUNTIFS('AT. MEDICAS 2024'!$A$9:$A$874,"01/05/2025",'AT. MEDICAS 2024'!$I$9:$I$874,B115)</f>
        <v>0</v>
      </c>
      <c r="D115" s="30">
        <f>COUNTIFS('AT. MEDICAS 2024'!$A$9:$A$874,"02/05/2025",'AT. MEDICAS 2024'!$I$9:$I$874,B115)</f>
        <v>0</v>
      </c>
      <c r="E115" s="30">
        <f>COUNTIFS('AT. MEDICAS 2024'!$A$9:$A$874,"03/05/2025",'AT. MEDICAS 2024'!$I$9:$I$874,B115)</f>
        <v>0</v>
      </c>
      <c r="F115" s="30">
        <f>COUNTIFS('AT. MEDICAS 2024'!$A$9:$A$874,"04/05/2025",'AT. MEDICAS 2024'!$I$9:$I$874,B115)</f>
        <v>0</v>
      </c>
      <c r="G115" s="30">
        <f>COUNTIFS('AT. MEDICAS 2024'!$A$9:$A$874,"05/05/2025",'AT. MEDICAS 2024'!$I$9:$I$874,B115)</f>
        <v>0</v>
      </c>
      <c r="H115" s="30">
        <f>COUNTIFS('AT. MEDICAS 2024'!$A$9:$A$874,"06/05/2025",'AT. MEDICAS 2024'!$I$9:$I$874,B115)</f>
        <v>0</v>
      </c>
      <c r="I115" s="30">
        <f>COUNTIFS('AT. MEDICAS 2024'!$A$9:$A$874,"07/05/2025",'AT. MEDICAS 2024'!$I$9:$I$874,B115)</f>
        <v>0</v>
      </c>
      <c r="J115" s="30">
        <f>COUNTIFS('AT. MEDICAS 2024'!$A$9:$A$874,"08/05/2025",'AT. MEDICAS 2024'!$I$9:$I$874,B115)</f>
        <v>0</v>
      </c>
      <c r="K115" s="30">
        <f>COUNTIFS('AT. MEDICAS 2024'!$A$9:$A$874,"09/05/2025",'AT. MEDICAS 2024'!$I$9:$I$874,B115)</f>
        <v>0</v>
      </c>
      <c r="L115" s="30">
        <f>COUNTIFS('AT. MEDICAS 2024'!$A$9:$A$874,"10/05/2025",'AT. MEDICAS 2024'!$I$9:$I$874,B115)</f>
        <v>0</v>
      </c>
      <c r="M115" s="30">
        <f>COUNTIFS('AT. MEDICAS 2024'!$A$9:$A$874,"11/05/2025",'AT. MEDICAS 2024'!$I$9:$I$874,B115)</f>
        <v>0</v>
      </c>
      <c r="N115" s="30">
        <f>COUNTIFS('AT. MEDICAS 2024'!$A$9:$A$874,"12/05/2025",'AT. MEDICAS 2024'!$I$9:$I$874,B115)</f>
        <v>0</v>
      </c>
      <c r="O115" s="30">
        <f>COUNTIFS('AT. MEDICAS 2024'!$A$9:$A$874,"13/05/2025",'AT. MEDICAS 2024'!$I$9:$I$874,B115)</f>
        <v>0</v>
      </c>
      <c r="P115" s="30">
        <f>COUNTIFS('AT. MEDICAS 2024'!$A$9:$A$874,"14/05/2025",'AT. MEDICAS 2024'!$I$9:$I$874,B115)</f>
        <v>0</v>
      </c>
      <c r="Q115" s="30">
        <f>COUNTIFS('AT. MEDICAS 2024'!$A$9:$A$874,"15/05/2025",'AT. MEDICAS 2024'!$I$9:$I$874,B115)</f>
        <v>0</v>
      </c>
      <c r="R115" s="30">
        <f>COUNTIFS('AT. MEDICAS 2024'!$A$9:$A$874,"16/05/2025",'AT. MEDICAS 2024'!$I$9:$I$874,B115)</f>
        <v>0</v>
      </c>
      <c r="S115" s="30">
        <f>COUNTIFS('AT. MEDICAS 2024'!$A$9:$A$874,"17/05/2025",'AT. MEDICAS 2024'!$I$9:$I$874,B115)</f>
        <v>0</v>
      </c>
      <c r="T115" s="30">
        <f>COUNTIFS('AT. MEDICAS 2024'!$A$9:$A$874,"18/05/2025",'AT. MEDICAS 2024'!$I$9:$I$874,B115)</f>
        <v>0</v>
      </c>
      <c r="U115" s="30">
        <f>COUNTIFS('AT. MEDICAS 2024'!$A$9:$A$874,"19/05/2025",'AT. MEDICAS 2024'!$I$9:$I$874,B115)</f>
        <v>0</v>
      </c>
      <c r="V115" s="30">
        <f>COUNTIFS('AT. MEDICAS 2024'!$A$9:$A$874,"20/05/2025",'AT. MEDICAS 2024'!$I$9:$I$874,B115)</f>
        <v>0</v>
      </c>
      <c r="W115" s="30">
        <f>COUNTIFS('AT. MEDICAS 2024'!$A$9:$A$874,"21/05/2025",'AT. MEDICAS 2024'!$I$9:$I$874,B115)</f>
        <v>0</v>
      </c>
      <c r="X115" s="30">
        <f>COUNTIFS('AT. MEDICAS 2024'!$A$9:$A$874,"22/05/2025",'AT. MEDICAS 2024'!$I$9:$I$874,B115)</f>
        <v>0</v>
      </c>
      <c r="Y115" s="30">
        <f>COUNTIFS('AT. MEDICAS 2024'!$A$9:$A$874,"23/05/2025",'AT. MEDICAS 2024'!$I$9:$I$874,B115)</f>
        <v>0</v>
      </c>
      <c r="Z115" s="30">
        <f>COUNTIFS('AT. MEDICAS 2024'!$A$9:$A$874,"24/05/2025",'AT. MEDICAS 2024'!$I$9:$I$874,B115)</f>
        <v>0</v>
      </c>
      <c r="AA115" s="30">
        <f>COUNTIFS('AT. MEDICAS 2024'!$A$9:$A$874,"25/05/2025",'AT. MEDICAS 2024'!$I$9:$I$874,B115)</f>
        <v>0</v>
      </c>
      <c r="AB115" s="30">
        <f>COUNTIFS('AT. MEDICAS 2024'!$A$9:$A$874,"26/05/2025",'AT. MEDICAS 2024'!$I$9:$I$874,B115)</f>
        <v>0</v>
      </c>
      <c r="AC115" s="30">
        <f>COUNTIFS('AT. MEDICAS 2024'!$A$9:$A$874,"27/05/2025",'AT. MEDICAS 2024'!$I$9:$I$874,B115)</f>
        <v>0</v>
      </c>
      <c r="AD115" s="30">
        <f>COUNTIFS('AT. MEDICAS 2024'!$A$9:$A$874,"28/05/2025",'AT. MEDICAS 2024'!$I$9:$I$874,B115)</f>
        <v>0</v>
      </c>
      <c r="AE115" s="30">
        <f>COUNTIFS('AT. MEDICAS 2024'!$A$9:$A$874,"29/05/2025",'AT. MEDICAS 2024'!$I$9:$I$874,B115)</f>
        <v>0</v>
      </c>
      <c r="AF115" s="30">
        <f>COUNTIFS('AT. MEDICAS 2024'!$A$9:$A$874,"30/05/2025",'AT. MEDICAS 2024'!$I$9:$I$874,B115)</f>
        <v>0</v>
      </c>
      <c r="AG115" s="30">
        <f>COUNTIFS('AT. MEDICAS 2024'!$A$9:$A$874,"31/05/2025",'AT. MEDICAS 2024'!$I$9:$I$874,B115)</f>
        <v>0</v>
      </c>
      <c r="AH115" s="55">
        <f t="shared" si="19"/>
        <v>0</v>
      </c>
    </row>
    <row r="116" spans="1:34" ht="13.8" thickBot="1" x14ac:dyDescent="0.3">
      <c r="A116" s="41">
        <v>6</v>
      </c>
      <c r="B116" s="54" t="s">
        <v>46</v>
      </c>
      <c r="C116" s="30">
        <f>COUNTIFS('AT. MEDICAS 2024'!$A$9:$A$874,"01/05/2025",'AT. MEDICAS 2024'!$I$9:$I$874,B116)</f>
        <v>0</v>
      </c>
      <c r="D116" s="30">
        <f>COUNTIFS('AT. MEDICAS 2024'!$A$9:$A$874,"02/05/2025",'AT. MEDICAS 2024'!$I$9:$I$874,B116)</f>
        <v>0</v>
      </c>
      <c r="E116" s="30">
        <f>COUNTIFS('AT. MEDICAS 2024'!$A$9:$A$874,"03/05/2025",'AT. MEDICAS 2024'!$I$9:$I$874,B116)</f>
        <v>0</v>
      </c>
      <c r="F116" s="30">
        <f>COUNTIFS('AT. MEDICAS 2024'!$A$9:$A$874,"04/05/2025",'AT. MEDICAS 2024'!$I$9:$I$874,B116)</f>
        <v>0</v>
      </c>
      <c r="G116" s="30">
        <f>COUNTIFS('AT. MEDICAS 2024'!$A$9:$A$874,"05/05/2025",'AT. MEDICAS 2024'!$I$9:$I$874,B116)</f>
        <v>0</v>
      </c>
      <c r="H116" s="30">
        <f>COUNTIFS('AT. MEDICAS 2024'!$A$9:$A$874,"06/05/2025",'AT. MEDICAS 2024'!$I$9:$I$874,B116)</f>
        <v>0</v>
      </c>
      <c r="I116" s="30">
        <f>COUNTIFS('AT. MEDICAS 2024'!$A$9:$A$874,"07/05/2025",'AT. MEDICAS 2024'!$I$9:$I$874,B116)</f>
        <v>0</v>
      </c>
      <c r="J116" s="30">
        <f>COUNTIFS('AT. MEDICAS 2024'!$A$9:$A$874,"08/05/2025",'AT. MEDICAS 2024'!$I$9:$I$874,B116)</f>
        <v>0</v>
      </c>
      <c r="K116" s="30">
        <f>COUNTIFS('AT. MEDICAS 2024'!$A$9:$A$874,"09/05/2025",'AT. MEDICAS 2024'!$I$9:$I$874,B116)</f>
        <v>0</v>
      </c>
      <c r="L116" s="30">
        <f>COUNTIFS('AT. MEDICAS 2024'!$A$9:$A$874,"10/05/2025",'AT. MEDICAS 2024'!$I$9:$I$874,B116)</f>
        <v>0</v>
      </c>
      <c r="M116" s="30">
        <f>COUNTIFS('AT. MEDICAS 2024'!$A$9:$A$874,"11/05/2025",'AT. MEDICAS 2024'!$I$9:$I$874,B116)</f>
        <v>0</v>
      </c>
      <c r="N116" s="30">
        <f>COUNTIFS('AT. MEDICAS 2024'!$A$9:$A$874,"12/05/2025",'AT. MEDICAS 2024'!$I$9:$I$874,B116)</f>
        <v>0</v>
      </c>
      <c r="O116" s="30">
        <f>COUNTIFS('AT. MEDICAS 2024'!$A$9:$A$874,"13/05/2025",'AT. MEDICAS 2024'!$I$9:$I$874,B116)</f>
        <v>0</v>
      </c>
      <c r="P116" s="30">
        <f>COUNTIFS('AT. MEDICAS 2024'!$A$9:$A$874,"14/05/2025",'AT. MEDICAS 2024'!$I$9:$I$874,B116)</f>
        <v>0</v>
      </c>
      <c r="Q116" s="30">
        <f>COUNTIFS('AT. MEDICAS 2024'!$A$9:$A$874,"15/05/2025",'AT. MEDICAS 2024'!$I$9:$I$874,B116)</f>
        <v>0</v>
      </c>
      <c r="R116" s="30">
        <f>COUNTIFS('AT. MEDICAS 2024'!$A$9:$A$874,"16/05/2025",'AT. MEDICAS 2024'!$I$9:$I$874,B116)</f>
        <v>0</v>
      </c>
      <c r="S116" s="30">
        <f>COUNTIFS('AT. MEDICAS 2024'!$A$9:$A$874,"17/05/2025",'AT. MEDICAS 2024'!$I$9:$I$874,B116)</f>
        <v>0</v>
      </c>
      <c r="T116" s="30">
        <f>COUNTIFS('AT. MEDICAS 2024'!$A$9:$A$874,"18/05/2025",'AT. MEDICAS 2024'!$I$9:$I$874,B116)</f>
        <v>0</v>
      </c>
      <c r="U116" s="30">
        <f>COUNTIFS('AT. MEDICAS 2024'!$A$9:$A$874,"19/05/2025",'AT. MEDICAS 2024'!$I$9:$I$874,B116)</f>
        <v>0</v>
      </c>
      <c r="V116" s="30">
        <f>COUNTIFS('AT. MEDICAS 2024'!$A$9:$A$874,"20/05/2025",'AT. MEDICAS 2024'!$I$9:$I$874,B116)</f>
        <v>0</v>
      </c>
      <c r="W116" s="30">
        <f>COUNTIFS('AT. MEDICAS 2024'!$A$9:$A$874,"21/05/2025",'AT. MEDICAS 2024'!$I$9:$I$874,B116)</f>
        <v>0</v>
      </c>
      <c r="X116" s="30">
        <f>COUNTIFS('AT. MEDICAS 2024'!$A$9:$A$874,"22/05/2025",'AT. MEDICAS 2024'!$I$9:$I$874,B116)</f>
        <v>0</v>
      </c>
      <c r="Y116" s="30">
        <f>COUNTIFS('AT. MEDICAS 2024'!$A$9:$A$874,"23/05/2025",'AT. MEDICAS 2024'!$I$9:$I$874,B116)</f>
        <v>0</v>
      </c>
      <c r="Z116" s="30">
        <f>COUNTIFS('AT. MEDICAS 2024'!$A$9:$A$874,"24/05/2025",'AT. MEDICAS 2024'!$I$9:$I$874,B116)</f>
        <v>0</v>
      </c>
      <c r="AA116" s="30">
        <f>COUNTIFS('AT. MEDICAS 2024'!$A$9:$A$874,"25/05/2025",'AT. MEDICAS 2024'!$I$9:$I$874,B116)</f>
        <v>0</v>
      </c>
      <c r="AB116" s="30">
        <f>COUNTIFS('AT. MEDICAS 2024'!$A$9:$A$874,"26/05/2025",'AT. MEDICAS 2024'!$I$9:$I$874,B116)</f>
        <v>0</v>
      </c>
      <c r="AC116" s="30">
        <f>COUNTIFS('AT. MEDICAS 2024'!$A$9:$A$874,"27/05/2025",'AT. MEDICAS 2024'!$I$9:$I$874,B116)</f>
        <v>0</v>
      </c>
      <c r="AD116" s="30">
        <f>COUNTIFS('AT. MEDICAS 2024'!$A$9:$A$874,"28/05/2025",'AT. MEDICAS 2024'!$I$9:$I$874,B116)</f>
        <v>0</v>
      </c>
      <c r="AE116" s="30">
        <f>COUNTIFS('AT. MEDICAS 2024'!$A$9:$A$874,"29/05/2025",'AT. MEDICAS 2024'!$I$9:$I$874,B116)</f>
        <v>0</v>
      </c>
      <c r="AF116" s="30">
        <f>COUNTIFS('AT. MEDICAS 2024'!$A$9:$A$874,"30/05/2025",'AT. MEDICAS 2024'!$I$9:$I$874,B116)</f>
        <v>0</v>
      </c>
      <c r="AG116" s="30">
        <f>COUNTIFS('AT. MEDICAS 2024'!$A$9:$A$874,"31/05/2025",'AT. MEDICAS 2024'!$I$9:$I$874,B116)</f>
        <v>0</v>
      </c>
      <c r="AH116" s="55">
        <f t="shared" si="19"/>
        <v>0</v>
      </c>
    </row>
    <row r="117" spans="1:34" ht="13.8" thickBot="1" x14ac:dyDescent="0.3">
      <c r="A117" s="41">
        <v>7</v>
      </c>
      <c r="B117" s="54" t="s">
        <v>36</v>
      </c>
      <c r="C117" s="30">
        <f>COUNTIFS('AT. MEDICAS 2024'!$A$9:$A$874,"01/05/2025",'AT. MEDICAS 2024'!$I$9:$I$874,B117)</f>
        <v>0</v>
      </c>
      <c r="D117" s="30">
        <f>COUNTIFS('AT. MEDICAS 2024'!$A$9:$A$874,"02/05/2025",'AT. MEDICAS 2024'!$I$9:$I$874,B117)</f>
        <v>0</v>
      </c>
      <c r="E117" s="30">
        <f>COUNTIFS('AT. MEDICAS 2024'!$A$9:$A$874,"03/05/2025",'AT. MEDICAS 2024'!$I$9:$I$874,B117)</f>
        <v>0</v>
      </c>
      <c r="F117" s="30">
        <f>COUNTIFS('AT. MEDICAS 2024'!$A$9:$A$874,"04/05/2025",'AT. MEDICAS 2024'!$I$9:$I$874,B117)</f>
        <v>0</v>
      </c>
      <c r="G117" s="30">
        <f>COUNTIFS('AT. MEDICAS 2024'!$A$9:$A$874,"05/05/2025",'AT. MEDICAS 2024'!$I$9:$I$874,B117)</f>
        <v>0</v>
      </c>
      <c r="H117" s="30">
        <f>COUNTIFS('AT. MEDICAS 2024'!$A$9:$A$874,"06/05/2025",'AT. MEDICAS 2024'!$I$9:$I$874,B117)</f>
        <v>0</v>
      </c>
      <c r="I117" s="30">
        <f>COUNTIFS('AT. MEDICAS 2024'!$A$9:$A$874,"07/05/2025",'AT. MEDICAS 2024'!$I$9:$I$874,B117)</f>
        <v>0</v>
      </c>
      <c r="J117" s="30">
        <f>COUNTIFS('AT. MEDICAS 2024'!$A$9:$A$874,"08/05/2025",'AT. MEDICAS 2024'!$I$9:$I$874,B117)</f>
        <v>0</v>
      </c>
      <c r="K117" s="30">
        <f>COUNTIFS('AT. MEDICAS 2024'!$A$9:$A$874,"09/05/2025",'AT. MEDICAS 2024'!$I$9:$I$874,B117)</f>
        <v>0</v>
      </c>
      <c r="L117" s="30">
        <f>COUNTIFS('AT. MEDICAS 2024'!$A$9:$A$874,"10/05/2025",'AT. MEDICAS 2024'!$I$9:$I$874,B117)</f>
        <v>0</v>
      </c>
      <c r="M117" s="30">
        <f>COUNTIFS('AT. MEDICAS 2024'!$A$9:$A$874,"11/05/2025",'AT. MEDICAS 2024'!$I$9:$I$874,B117)</f>
        <v>0</v>
      </c>
      <c r="N117" s="30">
        <f>COUNTIFS('AT. MEDICAS 2024'!$A$9:$A$874,"12/05/2025",'AT. MEDICAS 2024'!$I$9:$I$874,B117)</f>
        <v>0</v>
      </c>
      <c r="O117" s="30">
        <f>COUNTIFS('AT. MEDICAS 2024'!$A$9:$A$874,"13/05/2025",'AT. MEDICAS 2024'!$I$9:$I$874,B117)</f>
        <v>0</v>
      </c>
      <c r="P117" s="30">
        <f>COUNTIFS('AT. MEDICAS 2024'!$A$9:$A$874,"14/05/2025",'AT. MEDICAS 2024'!$I$9:$I$874,B117)</f>
        <v>0</v>
      </c>
      <c r="Q117" s="30">
        <f>COUNTIFS('AT. MEDICAS 2024'!$A$9:$A$874,"15/05/2025",'AT. MEDICAS 2024'!$I$9:$I$874,B117)</f>
        <v>0</v>
      </c>
      <c r="R117" s="30">
        <f>COUNTIFS('AT. MEDICAS 2024'!$A$9:$A$874,"16/05/2025",'AT. MEDICAS 2024'!$I$9:$I$874,B117)</f>
        <v>0</v>
      </c>
      <c r="S117" s="30">
        <f>COUNTIFS('AT. MEDICAS 2024'!$A$9:$A$874,"17/05/2025",'AT. MEDICAS 2024'!$I$9:$I$874,B117)</f>
        <v>0</v>
      </c>
      <c r="T117" s="30">
        <f>COUNTIFS('AT. MEDICAS 2024'!$A$9:$A$874,"18/05/2025",'AT. MEDICAS 2024'!$I$9:$I$874,B117)</f>
        <v>0</v>
      </c>
      <c r="U117" s="30">
        <f>COUNTIFS('AT. MEDICAS 2024'!$A$9:$A$874,"19/05/2025",'AT. MEDICAS 2024'!$I$9:$I$874,B117)</f>
        <v>0</v>
      </c>
      <c r="V117" s="30">
        <f>COUNTIFS('AT. MEDICAS 2024'!$A$9:$A$874,"20/05/2025",'AT. MEDICAS 2024'!$I$9:$I$874,B117)</f>
        <v>0</v>
      </c>
      <c r="W117" s="30">
        <f>COUNTIFS('AT. MEDICAS 2024'!$A$9:$A$874,"21/05/2025",'AT. MEDICAS 2024'!$I$9:$I$874,B117)</f>
        <v>0</v>
      </c>
      <c r="X117" s="30">
        <f>COUNTIFS('AT. MEDICAS 2024'!$A$9:$A$874,"22/05/2025",'AT. MEDICAS 2024'!$I$9:$I$874,B117)</f>
        <v>0</v>
      </c>
      <c r="Y117" s="30">
        <f>COUNTIFS('AT. MEDICAS 2024'!$A$9:$A$874,"23/05/2025",'AT. MEDICAS 2024'!$I$9:$I$874,B117)</f>
        <v>0</v>
      </c>
      <c r="Z117" s="30">
        <f>COUNTIFS('AT. MEDICAS 2024'!$A$9:$A$874,"24/05/2025",'AT. MEDICAS 2024'!$I$9:$I$874,B117)</f>
        <v>0</v>
      </c>
      <c r="AA117" s="30">
        <f>COUNTIFS('AT. MEDICAS 2024'!$A$9:$A$874,"25/05/2025",'AT. MEDICAS 2024'!$I$9:$I$874,B117)</f>
        <v>0</v>
      </c>
      <c r="AB117" s="30">
        <f>COUNTIFS('AT. MEDICAS 2024'!$A$9:$A$874,"26/05/2025",'AT. MEDICAS 2024'!$I$9:$I$874,B117)</f>
        <v>0</v>
      </c>
      <c r="AC117" s="30">
        <f>COUNTIFS('AT. MEDICAS 2024'!$A$9:$A$874,"27/05/2025",'AT. MEDICAS 2024'!$I$9:$I$874,B117)</f>
        <v>0</v>
      </c>
      <c r="AD117" s="30">
        <f>COUNTIFS('AT. MEDICAS 2024'!$A$9:$A$874,"28/05/2025",'AT. MEDICAS 2024'!$I$9:$I$874,B117)</f>
        <v>0</v>
      </c>
      <c r="AE117" s="30">
        <f>COUNTIFS('AT. MEDICAS 2024'!$A$9:$A$874,"29/05/2025",'AT. MEDICAS 2024'!$I$9:$I$874,B117)</f>
        <v>0</v>
      </c>
      <c r="AF117" s="30">
        <f>COUNTIFS('AT. MEDICAS 2024'!$A$9:$A$874,"30/05/2025",'AT. MEDICAS 2024'!$I$9:$I$874,B117)</f>
        <v>0</v>
      </c>
      <c r="AG117" s="30">
        <f>COUNTIFS('AT. MEDICAS 2024'!$A$9:$A$874,"31/05/2025",'AT. MEDICAS 2024'!$I$9:$I$874,B117)</f>
        <v>0</v>
      </c>
      <c r="AH117" s="55">
        <f t="shared" si="19"/>
        <v>0</v>
      </c>
    </row>
    <row r="118" spans="1:34" ht="13.8" thickBot="1" x14ac:dyDescent="0.3">
      <c r="A118" s="41">
        <v>8</v>
      </c>
      <c r="B118" s="54" t="s">
        <v>92</v>
      </c>
      <c r="C118" s="30">
        <f>COUNTIFS('AT. MEDICAS 2024'!$A$9:$A$874,"01/05/2025",'AT. MEDICAS 2024'!$I$9:$I$874,B118)</f>
        <v>0</v>
      </c>
      <c r="D118" s="30">
        <f>COUNTIFS('AT. MEDICAS 2024'!$A$9:$A$874,"02/05/2025",'AT. MEDICAS 2024'!$I$9:$I$874,B118)</f>
        <v>0</v>
      </c>
      <c r="E118" s="30">
        <f>COUNTIFS('AT. MEDICAS 2024'!$A$9:$A$874,"03/05/2025",'AT. MEDICAS 2024'!$I$9:$I$874,B118)</f>
        <v>0</v>
      </c>
      <c r="F118" s="30">
        <f>COUNTIFS('AT. MEDICAS 2024'!$A$9:$A$874,"04/05/2025",'AT. MEDICAS 2024'!$I$9:$I$874,B118)</f>
        <v>0</v>
      </c>
      <c r="G118" s="30">
        <f>COUNTIFS('AT. MEDICAS 2024'!$A$9:$A$874,"05/05/2025",'AT. MEDICAS 2024'!$I$9:$I$874,B118)</f>
        <v>0</v>
      </c>
      <c r="H118" s="30">
        <f>COUNTIFS('AT. MEDICAS 2024'!$A$9:$A$874,"06/05/2025",'AT. MEDICAS 2024'!$I$9:$I$874,B118)</f>
        <v>0</v>
      </c>
      <c r="I118" s="30">
        <f>COUNTIFS('AT. MEDICAS 2024'!$A$9:$A$874,"07/05/2025",'AT. MEDICAS 2024'!$I$9:$I$874,B118)</f>
        <v>0</v>
      </c>
      <c r="J118" s="30">
        <f>COUNTIFS('AT. MEDICAS 2024'!$A$9:$A$874,"08/05/2025",'AT. MEDICAS 2024'!$I$9:$I$874,B118)</f>
        <v>0</v>
      </c>
      <c r="K118" s="30">
        <f>COUNTIFS('AT. MEDICAS 2024'!$A$9:$A$874,"09/05/2025",'AT. MEDICAS 2024'!$I$9:$I$874,B118)</f>
        <v>0</v>
      </c>
      <c r="L118" s="30">
        <f>COUNTIFS('AT. MEDICAS 2024'!$A$9:$A$874,"10/05/2025",'AT. MEDICAS 2024'!$I$9:$I$874,B118)</f>
        <v>0</v>
      </c>
      <c r="M118" s="30">
        <f>COUNTIFS('AT. MEDICAS 2024'!$A$9:$A$874,"11/05/2025",'AT. MEDICAS 2024'!$I$9:$I$874,B118)</f>
        <v>0</v>
      </c>
      <c r="N118" s="30">
        <f>COUNTIFS('AT. MEDICAS 2024'!$A$9:$A$874,"12/05/2025",'AT. MEDICAS 2024'!$I$9:$I$874,B118)</f>
        <v>0</v>
      </c>
      <c r="O118" s="30">
        <f>COUNTIFS('AT. MEDICAS 2024'!$A$9:$A$874,"13/05/2025",'AT. MEDICAS 2024'!$I$9:$I$874,B118)</f>
        <v>0</v>
      </c>
      <c r="P118" s="30">
        <f>COUNTIFS('AT. MEDICAS 2024'!$A$9:$A$874,"14/05/2025",'AT. MEDICAS 2024'!$I$9:$I$874,B118)</f>
        <v>0</v>
      </c>
      <c r="Q118" s="30">
        <f>COUNTIFS('AT. MEDICAS 2024'!$A$9:$A$874,"15/05/2025",'AT. MEDICAS 2024'!$I$9:$I$874,B118)</f>
        <v>0</v>
      </c>
      <c r="R118" s="30">
        <f>COUNTIFS('AT. MEDICAS 2024'!$A$9:$A$874,"16/05/2025",'AT. MEDICAS 2024'!$I$9:$I$874,B118)</f>
        <v>0</v>
      </c>
      <c r="S118" s="30">
        <f>COUNTIFS('AT. MEDICAS 2024'!$A$9:$A$874,"17/05/2025",'AT. MEDICAS 2024'!$I$9:$I$874,B118)</f>
        <v>0</v>
      </c>
      <c r="T118" s="30">
        <f>COUNTIFS('AT. MEDICAS 2024'!$A$9:$A$874,"18/05/2025",'AT. MEDICAS 2024'!$I$9:$I$874,B118)</f>
        <v>0</v>
      </c>
      <c r="U118" s="30">
        <f>COUNTIFS('AT. MEDICAS 2024'!$A$9:$A$874,"19/05/2025",'AT. MEDICAS 2024'!$I$9:$I$874,B118)</f>
        <v>0</v>
      </c>
      <c r="V118" s="30">
        <f>COUNTIFS('AT. MEDICAS 2024'!$A$9:$A$874,"20/05/2025",'AT. MEDICAS 2024'!$I$9:$I$874,B118)</f>
        <v>0</v>
      </c>
      <c r="W118" s="30">
        <f>COUNTIFS('AT. MEDICAS 2024'!$A$9:$A$874,"21/05/2025",'AT. MEDICAS 2024'!$I$9:$I$874,B118)</f>
        <v>0</v>
      </c>
      <c r="X118" s="30">
        <f>COUNTIFS('AT. MEDICAS 2024'!$A$9:$A$874,"22/05/2025",'AT. MEDICAS 2024'!$I$9:$I$874,B118)</f>
        <v>0</v>
      </c>
      <c r="Y118" s="30">
        <f>COUNTIFS('AT. MEDICAS 2024'!$A$9:$A$874,"23/05/2025",'AT. MEDICAS 2024'!$I$9:$I$874,B118)</f>
        <v>0</v>
      </c>
      <c r="Z118" s="30">
        <f>COUNTIFS('AT. MEDICAS 2024'!$A$9:$A$874,"24/05/2025",'AT. MEDICAS 2024'!$I$9:$I$874,B118)</f>
        <v>0</v>
      </c>
      <c r="AA118" s="30">
        <f>COUNTIFS('AT. MEDICAS 2024'!$A$9:$A$874,"25/05/2025",'AT. MEDICAS 2024'!$I$9:$I$874,B118)</f>
        <v>0</v>
      </c>
      <c r="AB118" s="30">
        <f>COUNTIFS('AT. MEDICAS 2024'!$A$9:$A$874,"26/05/2025",'AT. MEDICAS 2024'!$I$9:$I$874,B118)</f>
        <v>0</v>
      </c>
      <c r="AC118" s="30">
        <f>COUNTIFS('AT. MEDICAS 2024'!$A$9:$A$874,"27/05/2025",'AT. MEDICAS 2024'!$I$9:$I$874,B118)</f>
        <v>0</v>
      </c>
      <c r="AD118" s="30">
        <f>COUNTIFS('AT. MEDICAS 2024'!$A$9:$A$874,"28/05/2025",'AT. MEDICAS 2024'!$I$9:$I$874,B118)</f>
        <v>0</v>
      </c>
      <c r="AE118" s="30">
        <f>COUNTIFS('AT. MEDICAS 2024'!$A$9:$A$874,"29/05/2025",'AT. MEDICAS 2024'!$I$9:$I$874,B118)</f>
        <v>0</v>
      </c>
      <c r="AF118" s="30">
        <f>COUNTIFS('AT. MEDICAS 2024'!$A$9:$A$874,"30/05/2025",'AT. MEDICAS 2024'!$I$9:$I$874,B118)</f>
        <v>0</v>
      </c>
      <c r="AG118" s="30">
        <f>COUNTIFS('AT. MEDICAS 2024'!$A$9:$A$874,"31/05/2025",'AT. MEDICAS 2024'!$I$9:$I$874,B118)</f>
        <v>0</v>
      </c>
      <c r="AH118" s="55">
        <f t="shared" si="19"/>
        <v>0</v>
      </c>
    </row>
    <row r="119" spans="1:34" ht="13.8" thickBot="1" x14ac:dyDescent="0.3">
      <c r="A119" s="41">
        <v>9</v>
      </c>
      <c r="B119" s="54" t="s">
        <v>188</v>
      </c>
      <c r="C119" s="30">
        <f>COUNTIFS('AT. MEDICAS 2024'!$A$9:$A$874,"01/05/2025",'AT. MEDICAS 2024'!$I$9:$I$874,B119)</f>
        <v>0</v>
      </c>
      <c r="D119" s="30">
        <f>COUNTIFS('AT. MEDICAS 2024'!$A$9:$A$874,"02/05/2025",'AT. MEDICAS 2024'!$I$9:$I$874,B119)</f>
        <v>0</v>
      </c>
      <c r="E119" s="30">
        <f>COUNTIFS('AT. MEDICAS 2024'!$A$9:$A$874,"03/05/2025",'AT. MEDICAS 2024'!$I$9:$I$874,B119)</f>
        <v>0</v>
      </c>
      <c r="F119" s="30">
        <f>COUNTIFS('AT. MEDICAS 2024'!$A$9:$A$874,"04/05/2025",'AT. MEDICAS 2024'!$I$9:$I$874,B119)</f>
        <v>0</v>
      </c>
      <c r="G119" s="30">
        <f>COUNTIFS('AT. MEDICAS 2024'!$A$9:$A$874,"05/05/2025",'AT. MEDICAS 2024'!$I$9:$I$874,B119)</f>
        <v>0</v>
      </c>
      <c r="H119" s="30">
        <f>COUNTIFS('AT. MEDICAS 2024'!$A$9:$A$874,"06/05/2025",'AT. MEDICAS 2024'!$I$9:$I$874,B119)</f>
        <v>0</v>
      </c>
      <c r="I119" s="30">
        <f>COUNTIFS('AT. MEDICAS 2024'!$A$9:$A$874,"07/05/2025",'AT. MEDICAS 2024'!$I$9:$I$874,B119)</f>
        <v>0</v>
      </c>
      <c r="J119" s="30">
        <f>COUNTIFS('AT. MEDICAS 2024'!$A$9:$A$874,"08/05/2025",'AT. MEDICAS 2024'!$I$9:$I$874,B119)</f>
        <v>0</v>
      </c>
      <c r="K119" s="30">
        <f>COUNTIFS('AT. MEDICAS 2024'!$A$9:$A$874,"09/05/2025",'AT. MEDICAS 2024'!$I$9:$I$874,B119)</f>
        <v>0</v>
      </c>
      <c r="L119" s="30">
        <f>COUNTIFS('AT. MEDICAS 2024'!$A$9:$A$874,"10/05/2025",'AT. MEDICAS 2024'!$I$9:$I$874,B119)</f>
        <v>0</v>
      </c>
      <c r="M119" s="30">
        <f>COUNTIFS('AT. MEDICAS 2024'!$A$9:$A$874,"11/05/2025",'AT. MEDICAS 2024'!$I$9:$I$874,B119)</f>
        <v>0</v>
      </c>
      <c r="N119" s="30">
        <f>COUNTIFS('AT. MEDICAS 2024'!$A$9:$A$874,"12/05/2025",'AT. MEDICAS 2024'!$I$9:$I$874,B119)</f>
        <v>0</v>
      </c>
      <c r="O119" s="30">
        <f>COUNTIFS('AT. MEDICAS 2024'!$A$9:$A$874,"13/05/2025",'AT. MEDICAS 2024'!$I$9:$I$874,B119)</f>
        <v>0</v>
      </c>
      <c r="P119" s="30">
        <f>COUNTIFS('AT. MEDICAS 2024'!$A$9:$A$874,"14/05/2025",'AT. MEDICAS 2024'!$I$9:$I$874,B119)</f>
        <v>0</v>
      </c>
      <c r="Q119" s="30">
        <f>COUNTIFS('AT. MEDICAS 2024'!$A$9:$A$874,"15/05/2025",'AT. MEDICAS 2024'!$I$9:$I$874,B119)</f>
        <v>0</v>
      </c>
      <c r="R119" s="30">
        <f>COUNTIFS('AT. MEDICAS 2024'!$A$9:$A$874,"16/05/2025",'AT. MEDICAS 2024'!$I$9:$I$874,B119)</f>
        <v>0</v>
      </c>
      <c r="S119" s="30">
        <f>COUNTIFS('AT. MEDICAS 2024'!$A$9:$A$874,"17/05/2025",'AT. MEDICAS 2024'!$I$9:$I$874,B119)</f>
        <v>0</v>
      </c>
      <c r="T119" s="30">
        <f>COUNTIFS('AT. MEDICAS 2024'!$A$9:$A$874,"18/05/2025",'AT. MEDICAS 2024'!$I$9:$I$874,B119)</f>
        <v>0</v>
      </c>
      <c r="U119" s="30">
        <f>COUNTIFS('AT. MEDICAS 2024'!$A$9:$A$874,"19/05/2025",'AT. MEDICAS 2024'!$I$9:$I$874,B119)</f>
        <v>0</v>
      </c>
      <c r="V119" s="30">
        <f>COUNTIFS('AT. MEDICAS 2024'!$A$9:$A$874,"20/05/2025",'AT. MEDICAS 2024'!$I$9:$I$874,B119)</f>
        <v>0</v>
      </c>
      <c r="W119" s="30">
        <f>COUNTIFS('AT. MEDICAS 2024'!$A$9:$A$874,"21/05/2025",'AT. MEDICAS 2024'!$I$9:$I$874,B119)</f>
        <v>0</v>
      </c>
      <c r="X119" s="30">
        <f>COUNTIFS('AT. MEDICAS 2024'!$A$9:$A$874,"22/05/2025",'AT. MEDICAS 2024'!$I$9:$I$874,B119)</f>
        <v>0</v>
      </c>
      <c r="Y119" s="30">
        <f>COUNTIFS('AT. MEDICAS 2024'!$A$9:$A$874,"23/05/2025",'AT. MEDICAS 2024'!$I$9:$I$874,B119)</f>
        <v>0</v>
      </c>
      <c r="Z119" s="30">
        <f>COUNTIFS('AT. MEDICAS 2024'!$A$9:$A$874,"24/05/2025",'AT. MEDICAS 2024'!$I$9:$I$874,B119)</f>
        <v>0</v>
      </c>
      <c r="AA119" s="30">
        <f>COUNTIFS('AT. MEDICAS 2024'!$A$9:$A$874,"25/05/2025",'AT. MEDICAS 2024'!$I$9:$I$874,B119)</f>
        <v>0</v>
      </c>
      <c r="AB119" s="30">
        <f>COUNTIFS('AT. MEDICAS 2024'!$A$9:$A$874,"26/05/2025",'AT. MEDICAS 2024'!$I$9:$I$874,B119)</f>
        <v>0</v>
      </c>
      <c r="AC119" s="30">
        <f>COUNTIFS('AT. MEDICAS 2024'!$A$9:$A$874,"27/05/2025",'AT. MEDICAS 2024'!$I$9:$I$874,B119)</f>
        <v>0</v>
      </c>
      <c r="AD119" s="30">
        <f>COUNTIFS('AT. MEDICAS 2024'!$A$9:$A$874,"28/05/2025",'AT. MEDICAS 2024'!$I$9:$I$874,B119)</f>
        <v>0</v>
      </c>
      <c r="AE119" s="30">
        <f>COUNTIFS('AT. MEDICAS 2024'!$A$9:$A$874,"29/05/2025",'AT. MEDICAS 2024'!$I$9:$I$874,B119)</f>
        <v>0</v>
      </c>
      <c r="AF119" s="30">
        <f>COUNTIFS('AT. MEDICAS 2024'!$A$9:$A$874,"30/05/2025",'AT. MEDICAS 2024'!$I$9:$I$874,B119)</f>
        <v>0</v>
      </c>
      <c r="AG119" s="30">
        <f>COUNTIFS('AT. MEDICAS 2024'!$A$9:$A$874,"31/05/2025",'AT. MEDICAS 2024'!$I$9:$I$874,B119)</f>
        <v>0</v>
      </c>
      <c r="AH119" s="55">
        <f t="shared" si="19"/>
        <v>0</v>
      </c>
    </row>
    <row r="120" spans="1:34" ht="13.8" thickBot="1" x14ac:dyDescent="0.3">
      <c r="A120" s="41">
        <v>10</v>
      </c>
      <c r="B120" s="54" t="s">
        <v>97</v>
      </c>
      <c r="C120" s="30">
        <f>COUNTIFS('AT. MEDICAS 2024'!$A$9:$A$874,"01/05/2025",'AT. MEDICAS 2024'!$I$9:$I$874,B120)</f>
        <v>0</v>
      </c>
      <c r="D120" s="30">
        <f>COUNTIFS('AT. MEDICAS 2024'!$A$9:$A$874,"02/05/2025",'AT. MEDICAS 2024'!$I$9:$I$874,B120)</f>
        <v>0</v>
      </c>
      <c r="E120" s="30">
        <f>COUNTIFS('AT. MEDICAS 2024'!$A$9:$A$874,"03/05/2025",'AT. MEDICAS 2024'!$I$9:$I$874,B120)</f>
        <v>0</v>
      </c>
      <c r="F120" s="30">
        <f>COUNTIFS('AT. MEDICAS 2024'!$A$9:$A$874,"04/05/2025",'AT. MEDICAS 2024'!$I$9:$I$874,B120)</f>
        <v>0</v>
      </c>
      <c r="G120" s="30">
        <f>COUNTIFS('AT. MEDICAS 2024'!$A$9:$A$874,"05/05/2025",'AT. MEDICAS 2024'!$I$9:$I$874,B120)</f>
        <v>0</v>
      </c>
      <c r="H120" s="30">
        <f>COUNTIFS('AT. MEDICAS 2024'!$A$9:$A$874,"06/05/2025",'AT. MEDICAS 2024'!$I$9:$I$874,B120)</f>
        <v>0</v>
      </c>
      <c r="I120" s="30">
        <f>COUNTIFS('AT. MEDICAS 2024'!$A$9:$A$874,"07/05/2025",'AT. MEDICAS 2024'!$I$9:$I$874,B120)</f>
        <v>0</v>
      </c>
      <c r="J120" s="30">
        <f>COUNTIFS('AT. MEDICAS 2024'!$A$9:$A$874,"08/05/2025",'AT. MEDICAS 2024'!$I$9:$I$874,B120)</f>
        <v>0</v>
      </c>
      <c r="K120" s="30">
        <f>COUNTIFS('AT. MEDICAS 2024'!$A$9:$A$874,"09/05/2025",'AT. MEDICAS 2024'!$I$9:$I$874,B120)</f>
        <v>0</v>
      </c>
      <c r="L120" s="30">
        <f>COUNTIFS('AT. MEDICAS 2024'!$A$9:$A$874,"10/05/2025",'AT. MEDICAS 2024'!$I$9:$I$874,B120)</f>
        <v>0</v>
      </c>
      <c r="M120" s="30">
        <f>COUNTIFS('AT. MEDICAS 2024'!$A$9:$A$874,"11/05/2025",'AT. MEDICAS 2024'!$I$9:$I$874,B120)</f>
        <v>0</v>
      </c>
      <c r="N120" s="30">
        <f>COUNTIFS('AT. MEDICAS 2024'!$A$9:$A$874,"12/05/2025",'AT. MEDICAS 2024'!$I$9:$I$874,B120)</f>
        <v>0</v>
      </c>
      <c r="O120" s="30">
        <f>COUNTIFS('AT. MEDICAS 2024'!$A$9:$A$874,"13/05/2025",'AT. MEDICAS 2024'!$I$9:$I$874,B120)</f>
        <v>0</v>
      </c>
      <c r="P120" s="30">
        <f>COUNTIFS('AT. MEDICAS 2024'!$A$9:$A$874,"14/05/2025",'AT. MEDICAS 2024'!$I$9:$I$874,B120)</f>
        <v>0</v>
      </c>
      <c r="Q120" s="30">
        <f>COUNTIFS('AT. MEDICAS 2024'!$A$9:$A$874,"15/05/2025",'AT. MEDICAS 2024'!$I$9:$I$874,B120)</f>
        <v>0</v>
      </c>
      <c r="R120" s="30">
        <f>COUNTIFS('AT. MEDICAS 2024'!$A$9:$A$874,"16/05/2025",'AT. MEDICAS 2024'!$I$9:$I$874,B120)</f>
        <v>0</v>
      </c>
      <c r="S120" s="30">
        <f>COUNTIFS('AT. MEDICAS 2024'!$A$9:$A$874,"17/05/2025",'AT. MEDICAS 2024'!$I$9:$I$874,B120)</f>
        <v>0</v>
      </c>
      <c r="T120" s="30">
        <f>COUNTIFS('AT. MEDICAS 2024'!$A$9:$A$874,"18/05/2025",'AT. MEDICAS 2024'!$I$9:$I$874,B120)</f>
        <v>0</v>
      </c>
      <c r="U120" s="30">
        <f>COUNTIFS('AT. MEDICAS 2024'!$A$9:$A$874,"19/05/2025",'AT. MEDICAS 2024'!$I$9:$I$874,B120)</f>
        <v>0</v>
      </c>
      <c r="V120" s="30">
        <f>COUNTIFS('AT. MEDICAS 2024'!$A$9:$A$874,"20/05/2025",'AT. MEDICAS 2024'!$I$9:$I$874,B120)</f>
        <v>0</v>
      </c>
      <c r="W120" s="30">
        <f>COUNTIFS('AT. MEDICAS 2024'!$A$9:$A$874,"21/05/2025",'AT. MEDICAS 2024'!$I$9:$I$874,B120)</f>
        <v>0</v>
      </c>
      <c r="X120" s="30">
        <f>COUNTIFS('AT. MEDICAS 2024'!$A$9:$A$874,"22/05/2025",'AT. MEDICAS 2024'!$I$9:$I$874,B120)</f>
        <v>0</v>
      </c>
      <c r="Y120" s="30">
        <f>COUNTIFS('AT. MEDICAS 2024'!$A$9:$A$874,"23/05/2025",'AT. MEDICAS 2024'!$I$9:$I$874,B120)</f>
        <v>0</v>
      </c>
      <c r="Z120" s="30">
        <f>COUNTIFS('AT. MEDICAS 2024'!$A$9:$A$874,"24/05/2025",'AT. MEDICAS 2024'!$I$9:$I$874,B120)</f>
        <v>0</v>
      </c>
      <c r="AA120" s="30">
        <f>COUNTIFS('AT. MEDICAS 2024'!$A$9:$A$874,"25/05/2025",'AT. MEDICAS 2024'!$I$9:$I$874,B120)</f>
        <v>0</v>
      </c>
      <c r="AB120" s="30">
        <f>COUNTIFS('AT. MEDICAS 2024'!$A$9:$A$874,"26/05/2025",'AT. MEDICAS 2024'!$I$9:$I$874,B120)</f>
        <v>0</v>
      </c>
      <c r="AC120" s="30">
        <f>COUNTIFS('AT. MEDICAS 2024'!$A$9:$A$874,"27/05/2025",'AT. MEDICAS 2024'!$I$9:$I$874,B120)</f>
        <v>0</v>
      </c>
      <c r="AD120" s="30">
        <f>COUNTIFS('AT. MEDICAS 2024'!$A$9:$A$874,"28/05/2025",'AT. MEDICAS 2024'!$I$9:$I$874,B120)</f>
        <v>0</v>
      </c>
      <c r="AE120" s="30">
        <f>COUNTIFS('AT. MEDICAS 2024'!$A$9:$A$874,"29/05/2025",'AT. MEDICAS 2024'!$I$9:$I$874,B120)</f>
        <v>0</v>
      </c>
      <c r="AF120" s="30">
        <f>COUNTIFS('AT. MEDICAS 2024'!$A$9:$A$874,"30/05/2025",'AT. MEDICAS 2024'!$I$9:$I$874,B120)</f>
        <v>0</v>
      </c>
      <c r="AG120" s="30">
        <f>COUNTIFS('AT. MEDICAS 2024'!$A$9:$A$874,"31/05/2025",'AT. MEDICAS 2024'!$I$9:$I$874,B120)</f>
        <v>0</v>
      </c>
      <c r="AH120" s="55">
        <f t="shared" si="19"/>
        <v>0</v>
      </c>
    </row>
    <row r="121" spans="1:34" ht="13.8" thickBot="1" x14ac:dyDescent="0.3">
      <c r="A121" s="41">
        <v>11</v>
      </c>
      <c r="B121" s="54" t="s">
        <v>21</v>
      </c>
      <c r="C121" s="30">
        <f>COUNTIFS('AT. MEDICAS 2024'!$A$9:$A$874,"01/05/2025",'AT. MEDICAS 2024'!$I$9:$I$874,B121)</f>
        <v>0</v>
      </c>
      <c r="D121" s="30">
        <f>COUNTIFS('AT. MEDICAS 2024'!$A$9:$A$874,"02/05/2025",'AT. MEDICAS 2024'!$I$9:$I$874,B121)</f>
        <v>0</v>
      </c>
      <c r="E121" s="30">
        <f>COUNTIFS('AT. MEDICAS 2024'!$A$9:$A$874,"03/05/2025",'AT. MEDICAS 2024'!$I$9:$I$874,B121)</f>
        <v>0</v>
      </c>
      <c r="F121" s="30">
        <f>COUNTIFS('AT. MEDICAS 2024'!$A$9:$A$874,"04/05/2025",'AT. MEDICAS 2024'!$I$9:$I$874,B121)</f>
        <v>0</v>
      </c>
      <c r="G121" s="30">
        <f>COUNTIFS('AT. MEDICAS 2024'!$A$9:$A$874,"05/05/2025",'AT. MEDICAS 2024'!$I$9:$I$874,B121)</f>
        <v>0</v>
      </c>
      <c r="H121" s="30">
        <f>COUNTIFS('AT. MEDICAS 2024'!$A$9:$A$874,"06/05/2025",'AT. MEDICAS 2024'!$I$9:$I$874,B121)</f>
        <v>0</v>
      </c>
      <c r="I121" s="30">
        <f>COUNTIFS('AT. MEDICAS 2024'!$A$9:$A$874,"07/05/2025",'AT. MEDICAS 2024'!$I$9:$I$874,B121)</f>
        <v>0</v>
      </c>
      <c r="J121" s="30">
        <f>COUNTIFS('AT. MEDICAS 2024'!$A$9:$A$874,"08/05/2025",'AT. MEDICAS 2024'!$I$9:$I$874,B121)</f>
        <v>0</v>
      </c>
      <c r="K121" s="30">
        <f>COUNTIFS('AT. MEDICAS 2024'!$A$9:$A$874,"09/05/2025",'AT. MEDICAS 2024'!$I$9:$I$874,B121)</f>
        <v>0</v>
      </c>
      <c r="L121" s="30">
        <f>COUNTIFS('AT. MEDICAS 2024'!$A$9:$A$874,"10/05/2025",'AT. MEDICAS 2024'!$I$9:$I$874,B121)</f>
        <v>0</v>
      </c>
      <c r="M121" s="30">
        <f>COUNTIFS('AT. MEDICAS 2024'!$A$9:$A$874,"11/05/2025",'AT. MEDICAS 2024'!$I$9:$I$874,B121)</f>
        <v>0</v>
      </c>
      <c r="N121" s="30">
        <f>COUNTIFS('AT. MEDICAS 2024'!$A$9:$A$874,"12/05/2025",'AT. MEDICAS 2024'!$I$9:$I$874,B121)</f>
        <v>0</v>
      </c>
      <c r="O121" s="30">
        <f>COUNTIFS('AT. MEDICAS 2024'!$A$9:$A$874,"13/05/2025",'AT. MEDICAS 2024'!$I$9:$I$874,B121)</f>
        <v>0</v>
      </c>
      <c r="P121" s="30">
        <f>COUNTIFS('AT. MEDICAS 2024'!$A$9:$A$874,"14/05/2025",'AT. MEDICAS 2024'!$I$9:$I$874,B121)</f>
        <v>0</v>
      </c>
      <c r="Q121" s="30">
        <f>COUNTIFS('AT. MEDICAS 2024'!$A$9:$A$874,"15/05/2025",'AT. MEDICAS 2024'!$I$9:$I$874,B121)</f>
        <v>0</v>
      </c>
      <c r="R121" s="30">
        <f>COUNTIFS('AT. MEDICAS 2024'!$A$9:$A$874,"16/05/2025",'AT. MEDICAS 2024'!$I$9:$I$874,B121)</f>
        <v>0</v>
      </c>
      <c r="S121" s="30">
        <f>COUNTIFS('AT. MEDICAS 2024'!$A$9:$A$874,"17/05/2025",'AT. MEDICAS 2024'!$I$9:$I$874,B121)</f>
        <v>0</v>
      </c>
      <c r="T121" s="30">
        <f>COUNTIFS('AT. MEDICAS 2024'!$A$9:$A$874,"18/05/2025",'AT. MEDICAS 2024'!$I$9:$I$874,B121)</f>
        <v>0</v>
      </c>
      <c r="U121" s="30">
        <f>COUNTIFS('AT. MEDICAS 2024'!$A$9:$A$874,"19/05/2025",'AT. MEDICAS 2024'!$I$9:$I$874,B121)</f>
        <v>0</v>
      </c>
      <c r="V121" s="30">
        <f>COUNTIFS('AT. MEDICAS 2024'!$A$9:$A$874,"20/05/2025",'AT. MEDICAS 2024'!$I$9:$I$874,B121)</f>
        <v>0</v>
      </c>
      <c r="W121" s="30">
        <f>COUNTIFS('AT. MEDICAS 2024'!$A$9:$A$874,"21/05/2025",'AT. MEDICAS 2024'!$I$9:$I$874,B121)</f>
        <v>0</v>
      </c>
      <c r="X121" s="30">
        <f>COUNTIFS('AT. MEDICAS 2024'!$A$9:$A$874,"22/05/2025",'AT. MEDICAS 2024'!$I$9:$I$874,B121)</f>
        <v>0</v>
      </c>
      <c r="Y121" s="30">
        <f>COUNTIFS('AT. MEDICAS 2024'!$A$9:$A$874,"23/05/2025",'AT. MEDICAS 2024'!$I$9:$I$874,B121)</f>
        <v>0</v>
      </c>
      <c r="Z121" s="30">
        <f>COUNTIFS('AT. MEDICAS 2024'!$A$9:$A$874,"24/05/2025",'AT. MEDICAS 2024'!$I$9:$I$874,B121)</f>
        <v>0</v>
      </c>
      <c r="AA121" s="30">
        <f>COUNTIFS('AT. MEDICAS 2024'!$A$9:$A$874,"25/05/2025",'AT. MEDICAS 2024'!$I$9:$I$874,B121)</f>
        <v>0</v>
      </c>
      <c r="AB121" s="30">
        <f>COUNTIFS('AT. MEDICAS 2024'!$A$9:$A$874,"26/05/2025",'AT. MEDICAS 2024'!$I$9:$I$874,B121)</f>
        <v>0</v>
      </c>
      <c r="AC121" s="30">
        <f>COUNTIFS('AT. MEDICAS 2024'!$A$9:$A$874,"27/05/2025",'AT. MEDICAS 2024'!$I$9:$I$874,B121)</f>
        <v>0</v>
      </c>
      <c r="AD121" s="30">
        <f>COUNTIFS('AT. MEDICAS 2024'!$A$9:$A$874,"28/05/2025",'AT. MEDICAS 2024'!$I$9:$I$874,B121)</f>
        <v>0</v>
      </c>
      <c r="AE121" s="30">
        <f>COUNTIFS('AT. MEDICAS 2024'!$A$9:$A$874,"29/05/2025",'AT. MEDICAS 2024'!$I$9:$I$874,B121)</f>
        <v>0</v>
      </c>
      <c r="AF121" s="30">
        <f>COUNTIFS('AT. MEDICAS 2024'!$A$9:$A$874,"30/05/2025",'AT. MEDICAS 2024'!$I$9:$I$874,B121)</f>
        <v>0</v>
      </c>
      <c r="AG121" s="30">
        <f>COUNTIFS('AT. MEDICAS 2024'!$A$9:$A$874,"31/05/2025",'AT. MEDICAS 2024'!$I$9:$I$874,B121)</f>
        <v>0</v>
      </c>
      <c r="AH121" s="55">
        <f t="shared" si="19"/>
        <v>0</v>
      </c>
    </row>
    <row r="122" spans="1:34" ht="13.8" thickBot="1" x14ac:dyDescent="0.3">
      <c r="A122" s="41">
        <v>12</v>
      </c>
      <c r="B122" s="54" t="s">
        <v>23</v>
      </c>
      <c r="C122" s="30">
        <f>COUNTIFS('AT. MEDICAS 2024'!$A$9:$A$874,"01/05/2025",'AT. MEDICAS 2024'!$I$9:$I$874,B122)</f>
        <v>0</v>
      </c>
      <c r="D122" s="30">
        <f>COUNTIFS('AT. MEDICAS 2024'!$A$9:$A$874,"02/05/2025",'AT. MEDICAS 2024'!$I$9:$I$874,B122)</f>
        <v>0</v>
      </c>
      <c r="E122" s="30">
        <f>COUNTIFS('AT. MEDICAS 2024'!$A$9:$A$874,"03/05/2025",'AT. MEDICAS 2024'!$I$9:$I$874,B122)</f>
        <v>0</v>
      </c>
      <c r="F122" s="30">
        <f>COUNTIFS('AT. MEDICAS 2024'!$A$9:$A$874,"04/05/2025",'AT. MEDICAS 2024'!$I$9:$I$874,B122)</f>
        <v>0</v>
      </c>
      <c r="G122" s="30">
        <f>COUNTIFS('AT. MEDICAS 2024'!$A$9:$A$874,"05/05/2025",'AT. MEDICAS 2024'!$I$9:$I$874,B122)</f>
        <v>0</v>
      </c>
      <c r="H122" s="30">
        <f>COUNTIFS('AT. MEDICAS 2024'!$A$9:$A$874,"06/05/2025",'AT. MEDICAS 2024'!$I$9:$I$874,B122)</f>
        <v>0</v>
      </c>
      <c r="I122" s="30">
        <f>COUNTIFS('AT. MEDICAS 2024'!$A$9:$A$874,"07/05/2025",'AT. MEDICAS 2024'!$I$9:$I$874,B122)</f>
        <v>0</v>
      </c>
      <c r="J122" s="30">
        <f>COUNTIFS('AT. MEDICAS 2024'!$A$9:$A$874,"08/05/2025",'AT. MEDICAS 2024'!$I$9:$I$874,B122)</f>
        <v>0</v>
      </c>
      <c r="K122" s="30">
        <f>COUNTIFS('AT. MEDICAS 2024'!$A$9:$A$874,"09/05/2025",'AT. MEDICAS 2024'!$I$9:$I$874,B122)</f>
        <v>0</v>
      </c>
      <c r="L122" s="30">
        <f>COUNTIFS('AT. MEDICAS 2024'!$A$9:$A$874,"10/05/2025",'AT. MEDICAS 2024'!$I$9:$I$874,B122)</f>
        <v>0</v>
      </c>
      <c r="M122" s="30">
        <f>COUNTIFS('AT. MEDICAS 2024'!$A$9:$A$874,"11/05/2025",'AT. MEDICAS 2024'!$I$9:$I$874,B122)</f>
        <v>0</v>
      </c>
      <c r="N122" s="30">
        <f>COUNTIFS('AT. MEDICAS 2024'!$A$9:$A$874,"12/05/2025",'AT. MEDICAS 2024'!$I$9:$I$874,B122)</f>
        <v>0</v>
      </c>
      <c r="O122" s="30">
        <f>COUNTIFS('AT. MEDICAS 2024'!$A$9:$A$874,"13/05/2025",'AT. MEDICAS 2024'!$I$9:$I$874,B122)</f>
        <v>0</v>
      </c>
      <c r="P122" s="30">
        <f>COUNTIFS('AT. MEDICAS 2024'!$A$9:$A$874,"14/05/2025",'AT. MEDICAS 2024'!$I$9:$I$874,B122)</f>
        <v>0</v>
      </c>
      <c r="Q122" s="30">
        <f>COUNTIFS('AT. MEDICAS 2024'!$A$9:$A$874,"15/05/2025",'AT. MEDICAS 2024'!$I$9:$I$874,B122)</f>
        <v>0</v>
      </c>
      <c r="R122" s="30">
        <f>COUNTIFS('AT. MEDICAS 2024'!$A$9:$A$874,"16/05/2025",'AT. MEDICAS 2024'!$I$9:$I$874,B122)</f>
        <v>0</v>
      </c>
      <c r="S122" s="30">
        <f>COUNTIFS('AT. MEDICAS 2024'!$A$9:$A$874,"17/05/2025",'AT. MEDICAS 2024'!$I$9:$I$874,B122)</f>
        <v>0</v>
      </c>
      <c r="T122" s="30">
        <f>COUNTIFS('AT. MEDICAS 2024'!$A$9:$A$874,"18/05/2025",'AT. MEDICAS 2024'!$I$9:$I$874,B122)</f>
        <v>0</v>
      </c>
      <c r="U122" s="30">
        <f>COUNTIFS('AT. MEDICAS 2024'!$A$9:$A$874,"19/05/2025",'AT. MEDICAS 2024'!$I$9:$I$874,B122)</f>
        <v>0</v>
      </c>
      <c r="V122" s="30">
        <f>COUNTIFS('AT. MEDICAS 2024'!$A$9:$A$874,"20/05/2025",'AT. MEDICAS 2024'!$I$9:$I$874,B122)</f>
        <v>0</v>
      </c>
      <c r="W122" s="30">
        <f>COUNTIFS('AT. MEDICAS 2024'!$A$9:$A$874,"21/05/2025",'AT. MEDICAS 2024'!$I$9:$I$874,B122)</f>
        <v>0</v>
      </c>
      <c r="X122" s="30">
        <f>COUNTIFS('AT. MEDICAS 2024'!$A$9:$A$874,"22/05/2025",'AT. MEDICAS 2024'!$I$9:$I$874,B122)</f>
        <v>0</v>
      </c>
      <c r="Y122" s="30">
        <f>COUNTIFS('AT. MEDICAS 2024'!$A$9:$A$874,"23/05/2025",'AT. MEDICAS 2024'!$I$9:$I$874,B122)</f>
        <v>0</v>
      </c>
      <c r="Z122" s="30">
        <f>COUNTIFS('AT. MEDICAS 2024'!$A$9:$A$874,"24/05/2025",'AT. MEDICAS 2024'!$I$9:$I$874,B122)</f>
        <v>0</v>
      </c>
      <c r="AA122" s="30">
        <f>COUNTIFS('AT. MEDICAS 2024'!$A$9:$A$874,"25/05/2025",'AT. MEDICAS 2024'!$I$9:$I$874,B122)</f>
        <v>0</v>
      </c>
      <c r="AB122" s="30">
        <f>COUNTIFS('AT. MEDICAS 2024'!$A$9:$A$874,"26/05/2025",'AT. MEDICAS 2024'!$I$9:$I$874,B122)</f>
        <v>0</v>
      </c>
      <c r="AC122" s="30">
        <f>COUNTIFS('AT. MEDICAS 2024'!$A$9:$A$874,"27/05/2025",'AT. MEDICAS 2024'!$I$9:$I$874,B122)</f>
        <v>0</v>
      </c>
      <c r="AD122" s="30">
        <f>COUNTIFS('AT. MEDICAS 2024'!$A$9:$A$874,"28/05/2025",'AT. MEDICAS 2024'!$I$9:$I$874,B122)</f>
        <v>0</v>
      </c>
      <c r="AE122" s="30">
        <f>COUNTIFS('AT. MEDICAS 2024'!$A$9:$A$874,"29/05/2025",'AT. MEDICAS 2024'!$I$9:$I$874,B122)</f>
        <v>0</v>
      </c>
      <c r="AF122" s="30">
        <f>COUNTIFS('AT. MEDICAS 2024'!$A$9:$A$874,"30/05/2025",'AT. MEDICAS 2024'!$I$9:$I$874,B122)</f>
        <v>0</v>
      </c>
      <c r="AG122" s="30">
        <f>COUNTIFS('AT. MEDICAS 2024'!$A$9:$A$874,"31/05/2025",'AT. MEDICAS 2024'!$I$9:$I$874,B122)</f>
        <v>0</v>
      </c>
      <c r="AH122" s="55">
        <f t="shared" si="19"/>
        <v>0</v>
      </c>
    </row>
    <row r="123" spans="1:34" ht="13.8" thickBot="1" x14ac:dyDescent="0.3">
      <c r="A123" s="41">
        <v>13</v>
      </c>
      <c r="B123" s="54" t="s">
        <v>57</v>
      </c>
      <c r="C123" s="30">
        <f>COUNTIFS('AT. MEDICAS 2024'!$A$9:$A$874,"01/05/2025",'AT. MEDICAS 2024'!$I$9:$I$874,B123)</f>
        <v>0</v>
      </c>
      <c r="D123" s="30">
        <f>COUNTIFS('AT. MEDICAS 2024'!$A$9:$A$874,"02/05/2025",'AT. MEDICAS 2024'!$I$9:$I$874,B123)</f>
        <v>0</v>
      </c>
      <c r="E123" s="30">
        <f>COUNTIFS('AT. MEDICAS 2024'!$A$9:$A$874,"03/05/2025",'AT. MEDICAS 2024'!$I$9:$I$874,B123)</f>
        <v>0</v>
      </c>
      <c r="F123" s="30">
        <f>COUNTIFS('AT. MEDICAS 2024'!$A$9:$A$874,"04/05/2025",'AT. MEDICAS 2024'!$I$9:$I$874,B123)</f>
        <v>0</v>
      </c>
      <c r="G123" s="30">
        <f>COUNTIFS('AT. MEDICAS 2024'!$A$9:$A$874,"05/05/2025",'AT. MEDICAS 2024'!$I$9:$I$874,B123)</f>
        <v>0</v>
      </c>
      <c r="H123" s="30">
        <f>COUNTIFS('AT. MEDICAS 2024'!$A$9:$A$874,"06/05/2025",'AT. MEDICAS 2024'!$I$9:$I$874,B123)</f>
        <v>0</v>
      </c>
      <c r="I123" s="30">
        <f>COUNTIFS('AT. MEDICAS 2024'!$A$9:$A$874,"07/05/2025",'AT. MEDICAS 2024'!$I$9:$I$874,B123)</f>
        <v>0</v>
      </c>
      <c r="J123" s="30">
        <f>COUNTIFS('AT. MEDICAS 2024'!$A$9:$A$874,"08/05/2025",'AT. MEDICAS 2024'!$I$9:$I$874,B123)</f>
        <v>0</v>
      </c>
      <c r="K123" s="30">
        <f>COUNTIFS('AT. MEDICAS 2024'!$A$9:$A$874,"09/05/2025",'AT. MEDICAS 2024'!$I$9:$I$874,B123)</f>
        <v>0</v>
      </c>
      <c r="L123" s="30">
        <f>COUNTIFS('AT. MEDICAS 2024'!$A$9:$A$874,"10/05/2025",'AT. MEDICAS 2024'!$I$9:$I$874,B123)</f>
        <v>0</v>
      </c>
      <c r="M123" s="30">
        <f>COUNTIFS('AT. MEDICAS 2024'!$A$9:$A$874,"11/05/2025",'AT. MEDICAS 2024'!$I$9:$I$874,B123)</f>
        <v>0</v>
      </c>
      <c r="N123" s="30">
        <f>COUNTIFS('AT. MEDICAS 2024'!$A$9:$A$874,"12/05/2025",'AT. MEDICAS 2024'!$I$9:$I$874,B123)</f>
        <v>0</v>
      </c>
      <c r="O123" s="30">
        <f>COUNTIFS('AT. MEDICAS 2024'!$A$9:$A$874,"13/05/2025",'AT. MEDICAS 2024'!$I$9:$I$874,B123)</f>
        <v>0</v>
      </c>
      <c r="P123" s="30">
        <f>COUNTIFS('AT. MEDICAS 2024'!$A$9:$A$874,"14/05/2025",'AT. MEDICAS 2024'!$I$9:$I$874,B123)</f>
        <v>0</v>
      </c>
      <c r="Q123" s="30">
        <f>COUNTIFS('AT. MEDICAS 2024'!$A$9:$A$874,"15/05/2025",'AT. MEDICAS 2024'!$I$9:$I$874,B123)</f>
        <v>0</v>
      </c>
      <c r="R123" s="30">
        <f>COUNTIFS('AT. MEDICAS 2024'!$A$9:$A$874,"16/05/2025",'AT. MEDICAS 2024'!$I$9:$I$874,B123)</f>
        <v>0</v>
      </c>
      <c r="S123" s="30">
        <f>COUNTIFS('AT. MEDICAS 2024'!$A$9:$A$874,"17/05/2025",'AT. MEDICAS 2024'!$I$9:$I$874,B123)</f>
        <v>0</v>
      </c>
      <c r="T123" s="30">
        <f>COUNTIFS('AT. MEDICAS 2024'!$A$9:$A$874,"18/05/2025",'AT. MEDICAS 2024'!$I$9:$I$874,B123)</f>
        <v>0</v>
      </c>
      <c r="U123" s="30">
        <f>COUNTIFS('AT. MEDICAS 2024'!$A$9:$A$874,"19/05/2025",'AT. MEDICAS 2024'!$I$9:$I$874,B123)</f>
        <v>0</v>
      </c>
      <c r="V123" s="30">
        <f>COUNTIFS('AT. MEDICAS 2024'!$A$9:$A$874,"20/05/2025",'AT. MEDICAS 2024'!$I$9:$I$874,B123)</f>
        <v>0</v>
      </c>
      <c r="W123" s="30">
        <f>COUNTIFS('AT. MEDICAS 2024'!$A$9:$A$874,"21/05/2025",'AT. MEDICAS 2024'!$I$9:$I$874,B123)</f>
        <v>0</v>
      </c>
      <c r="X123" s="30">
        <f>COUNTIFS('AT. MEDICAS 2024'!$A$9:$A$874,"22/05/2025",'AT. MEDICAS 2024'!$I$9:$I$874,B123)</f>
        <v>0</v>
      </c>
      <c r="Y123" s="30">
        <f>COUNTIFS('AT. MEDICAS 2024'!$A$9:$A$874,"23/05/2025",'AT. MEDICAS 2024'!$I$9:$I$874,B123)</f>
        <v>0</v>
      </c>
      <c r="Z123" s="30">
        <f>COUNTIFS('AT. MEDICAS 2024'!$A$9:$A$874,"24/05/2025",'AT. MEDICAS 2024'!$I$9:$I$874,B123)</f>
        <v>0</v>
      </c>
      <c r="AA123" s="30">
        <f>COUNTIFS('AT. MEDICAS 2024'!$A$9:$A$874,"25/05/2025",'AT. MEDICAS 2024'!$I$9:$I$874,B123)</f>
        <v>0</v>
      </c>
      <c r="AB123" s="30">
        <f>COUNTIFS('AT. MEDICAS 2024'!$A$9:$A$874,"26/05/2025",'AT. MEDICAS 2024'!$I$9:$I$874,B123)</f>
        <v>0</v>
      </c>
      <c r="AC123" s="30">
        <f>COUNTIFS('AT. MEDICAS 2024'!$A$9:$A$874,"27/05/2025",'AT. MEDICAS 2024'!$I$9:$I$874,B123)</f>
        <v>0</v>
      </c>
      <c r="AD123" s="30">
        <f>COUNTIFS('AT. MEDICAS 2024'!$A$9:$A$874,"28/05/2025",'AT. MEDICAS 2024'!$I$9:$I$874,B123)</f>
        <v>0</v>
      </c>
      <c r="AE123" s="30">
        <f>COUNTIFS('AT. MEDICAS 2024'!$A$9:$A$874,"29/05/2025",'AT. MEDICAS 2024'!$I$9:$I$874,B123)</f>
        <v>0</v>
      </c>
      <c r="AF123" s="30">
        <f>COUNTIFS('AT. MEDICAS 2024'!$A$9:$A$874,"30/05/2025",'AT. MEDICAS 2024'!$I$9:$I$874,B123)</f>
        <v>0</v>
      </c>
      <c r="AG123" s="30">
        <f>COUNTIFS('AT. MEDICAS 2024'!$A$9:$A$874,"31/05/2025",'AT. MEDICAS 2024'!$I$9:$I$874,B123)</f>
        <v>0</v>
      </c>
      <c r="AH123" s="55">
        <f t="shared" si="19"/>
        <v>0</v>
      </c>
    </row>
    <row r="124" spans="1:34" ht="13.8" thickBot="1" x14ac:dyDescent="0.3">
      <c r="A124" s="41">
        <v>14</v>
      </c>
      <c r="B124" s="54" t="s">
        <v>66</v>
      </c>
      <c r="C124" s="30">
        <f>COUNTIFS('AT. MEDICAS 2024'!$A$9:$A$874,"01/05/2025",'AT. MEDICAS 2024'!$I$9:$I$874,B124)</f>
        <v>0</v>
      </c>
      <c r="D124" s="30">
        <f>COUNTIFS('AT. MEDICAS 2024'!$A$9:$A$874,"02/05/2025",'AT. MEDICAS 2024'!$I$9:$I$874,B124)</f>
        <v>0</v>
      </c>
      <c r="E124" s="30">
        <f>COUNTIFS('AT. MEDICAS 2024'!$A$9:$A$874,"03/05/2025",'AT. MEDICAS 2024'!$I$9:$I$874,B124)</f>
        <v>0</v>
      </c>
      <c r="F124" s="30">
        <f>COUNTIFS('AT. MEDICAS 2024'!$A$9:$A$874,"04/05/2025",'AT. MEDICAS 2024'!$I$9:$I$874,B124)</f>
        <v>0</v>
      </c>
      <c r="G124" s="30">
        <f>COUNTIFS('AT. MEDICAS 2024'!$A$9:$A$874,"05/05/2025",'AT. MEDICAS 2024'!$I$9:$I$874,B124)</f>
        <v>0</v>
      </c>
      <c r="H124" s="30">
        <f>COUNTIFS('AT. MEDICAS 2024'!$A$9:$A$874,"06/05/2025",'AT. MEDICAS 2024'!$I$9:$I$874,B124)</f>
        <v>0</v>
      </c>
      <c r="I124" s="30">
        <f>COUNTIFS('AT. MEDICAS 2024'!$A$9:$A$874,"07/05/2025",'AT. MEDICAS 2024'!$I$9:$I$874,B124)</f>
        <v>0</v>
      </c>
      <c r="J124" s="30">
        <f>COUNTIFS('AT. MEDICAS 2024'!$A$9:$A$874,"08/05/2025",'AT. MEDICAS 2024'!$I$9:$I$874,B124)</f>
        <v>0</v>
      </c>
      <c r="K124" s="30">
        <f>COUNTIFS('AT. MEDICAS 2024'!$A$9:$A$874,"09/05/2025",'AT. MEDICAS 2024'!$I$9:$I$874,B124)</f>
        <v>0</v>
      </c>
      <c r="L124" s="30">
        <f>COUNTIFS('AT. MEDICAS 2024'!$A$9:$A$874,"10/05/2025",'AT. MEDICAS 2024'!$I$9:$I$874,B124)</f>
        <v>0</v>
      </c>
      <c r="M124" s="30">
        <f>COUNTIFS('AT. MEDICAS 2024'!$A$9:$A$874,"11/05/2025",'AT. MEDICAS 2024'!$I$9:$I$874,B124)</f>
        <v>0</v>
      </c>
      <c r="N124" s="30">
        <f>COUNTIFS('AT. MEDICAS 2024'!$A$9:$A$874,"12/05/2025",'AT. MEDICAS 2024'!$I$9:$I$874,B124)</f>
        <v>0</v>
      </c>
      <c r="O124" s="30">
        <f>COUNTIFS('AT. MEDICAS 2024'!$A$9:$A$874,"13/05/2025",'AT. MEDICAS 2024'!$I$9:$I$874,B124)</f>
        <v>0</v>
      </c>
      <c r="P124" s="30">
        <f>COUNTIFS('AT. MEDICAS 2024'!$A$9:$A$874,"14/05/2025",'AT. MEDICAS 2024'!$I$9:$I$874,B124)</f>
        <v>0</v>
      </c>
      <c r="Q124" s="30">
        <f>COUNTIFS('AT. MEDICAS 2024'!$A$9:$A$874,"15/05/2025",'AT. MEDICAS 2024'!$I$9:$I$874,B124)</f>
        <v>0</v>
      </c>
      <c r="R124" s="30">
        <f>COUNTIFS('AT. MEDICAS 2024'!$A$9:$A$874,"16/05/2025",'AT. MEDICAS 2024'!$I$9:$I$874,B124)</f>
        <v>0</v>
      </c>
      <c r="S124" s="30">
        <f>COUNTIFS('AT. MEDICAS 2024'!$A$9:$A$874,"17/05/2025",'AT. MEDICAS 2024'!$I$9:$I$874,B124)</f>
        <v>0</v>
      </c>
      <c r="T124" s="30">
        <f>COUNTIFS('AT. MEDICAS 2024'!$A$9:$A$874,"18/05/2025",'AT. MEDICAS 2024'!$I$9:$I$874,B124)</f>
        <v>0</v>
      </c>
      <c r="U124" s="30">
        <f>COUNTIFS('AT. MEDICAS 2024'!$A$9:$A$874,"19/05/2025",'AT. MEDICAS 2024'!$I$9:$I$874,B124)</f>
        <v>0</v>
      </c>
      <c r="V124" s="30">
        <f>COUNTIFS('AT. MEDICAS 2024'!$A$9:$A$874,"20/05/2025",'AT. MEDICAS 2024'!$I$9:$I$874,B124)</f>
        <v>0</v>
      </c>
      <c r="W124" s="30">
        <f>COUNTIFS('AT. MEDICAS 2024'!$A$9:$A$874,"21/05/2025",'AT. MEDICAS 2024'!$I$9:$I$874,B124)</f>
        <v>0</v>
      </c>
      <c r="X124" s="30">
        <f>COUNTIFS('AT. MEDICAS 2024'!$A$9:$A$874,"22/05/2025",'AT. MEDICAS 2024'!$I$9:$I$874,B124)</f>
        <v>0</v>
      </c>
      <c r="Y124" s="30">
        <f>COUNTIFS('AT. MEDICAS 2024'!$A$9:$A$874,"23/05/2025",'AT. MEDICAS 2024'!$I$9:$I$874,B124)</f>
        <v>0</v>
      </c>
      <c r="Z124" s="30">
        <f>COUNTIFS('AT. MEDICAS 2024'!$A$9:$A$874,"24/05/2025",'AT. MEDICAS 2024'!$I$9:$I$874,B124)</f>
        <v>0</v>
      </c>
      <c r="AA124" s="30">
        <f>COUNTIFS('AT. MEDICAS 2024'!$A$9:$A$874,"25/05/2025",'AT. MEDICAS 2024'!$I$9:$I$874,B124)</f>
        <v>0</v>
      </c>
      <c r="AB124" s="30">
        <f>COUNTIFS('AT. MEDICAS 2024'!$A$9:$A$874,"26/05/2025",'AT. MEDICAS 2024'!$I$9:$I$874,B124)</f>
        <v>0</v>
      </c>
      <c r="AC124" s="30">
        <f>COUNTIFS('AT. MEDICAS 2024'!$A$9:$A$874,"27/05/2025",'AT. MEDICAS 2024'!$I$9:$I$874,B124)</f>
        <v>0</v>
      </c>
      <c r="AD124" s="30">
        <f>COUNTIFS('AT. MEDICAS 2024'!$A$9:$A$874,"28/05/2025",'AT. MEDICAS 2024'!$I$9:$I$874,B124)</f>
        <v>0</v>
      </c>
      <c r="AE124" s="30">
        <f>COUNTIFS('AT. MEDICAS 2024'!$A$9:$A$874,"29/05/2025",'AT. MEDICAS 2024'!$I$9:$I$874,B124)</f>
        <v>0</v>
      </c>
      <c r="AF124" s="30">
        <f>COUNTIFS('AT. MEDICAS 2024'!$A$9:$A$874,"30/05/2025",'AT. MEDICAS 2024'!$I$9:$I$874,B124)</f>
        <v>0</v>
      </c>
      <c r="AG124" s="30">
        <f>COUNTIFS('AT. MEDICAS 2024'!$A$9:$A$874,"31/05/2025",'AT. MEDICAS 2024'!$I$9:$I$874,B124)</f>
        <v>0</v>
      </c>
      <c r="AH124" s="55">
        <f t="shared" si="19"/>
        <v>0</v>
      </c>
    </row>
    <row r="125" spans="1:34" ht="13.8" thickBot="1" x14ac:dyDescent="0.3">
      <c r="A125" s="41">
        <v>15</v>
      </c>
      <c r="B125" s="54" t="s">
        <v>189</v>
      </c>
      <c r="C125" s="30">
        <f>COUNTIFS('AT. MEDICAS 2024'!$A$9:$A$874,"01/05/2025",'AT. MEDICAS 2024'!$I$9:$I$874,B125)</f>
        <v>0</v>
      </c>
      <c r="D125" s="30">
        <f>COUNTIFS('AT. MEDICAS 2024'!$A$9:$A$874,"02/05/2025",'AT. MEDICAS 2024'!$I$9:$I$874,B125)</f>
        <v>0</v>
      </c>
      <c r="E125" s="30">
        <f>COUNTIFS('AT. MEDICAS 2024'!$A$9:$A$874,"03/05/2025",'AT. MEDICAS 2024'!$I$9:$I$874,B125)</f>
        <v>0</v>
      </c>
      <c r="F125" s="30">
        <f>COUNTIFS('AT. MEDICAS 2024'!$A$9:$A$874,"04/05/2025",'AT. MEDICAS 2024'!$I$9:$I$874,B125)</f>
        <v>0</v>
      </c>
      <c r="G125" s="30">
        <f>COUNTIFS('AT. MEDICAS 2024'!$A$9:$A$874,"05/05/2025",'AT. MEDICAS 2024'!$I$9:$I$874,B125)</f>
        <v>0</v>
      </c>
      <c r="H125" s="30">
        <f>COUNTIFS('AT. MEDICAS 2024'!$A$9:$A$874,"06/05/2025",'AT. MEDICAS 2024'!$I$9:$I$874,B125)</f>
        <v>0</v>
      </c>
      <c r="I125" s="30">
        <f>COUNTIFS('AT. MEDICAS 2024'!$A$9:$A$874,"07/05/2025",'AT. MEDICAS 2024'!$I$9:$I$874,B125)</f>
        <v>0</v>
      </c>
      <c r="J125" s="30">
        <f>COUNTIFS('AT. MEDICAS 2024'!$A$9:$A$874,"08/05/2025",'AT. MEDICAS 2024'!$I$9:$I$874,B125)</f>
        <v>0</v>
      </c>
      <c r="K125" s="30">
        <f>COUNTIFS('AT. MEDICAS 2024'!$A$9:$A$874,"09/05/2025",'AT. MEDICAS 2024'!$I$9:$I$874,B125)</f>
        <v>0</v>
      </c>
      <c r="L125" s="30">
        <f>COUNTIFS('AT. MEDICAS 2024'!$A$9:$A$874,"10/05/2025",'AT. MEDICAS 2024'!$I$9:$I$874,B125)</f>
        <v>0</v>
      </c>
      <c r="M125" s="30">
        <f>COUNTIFS('AT. MEDICAS 2024'!$A$9:$A$874,"11/05/2025",'AT. MEDICAS 2024'!$I$9:$I$874,B125)</f>
        <v>0</v>
      </c>
      <c r="N125" s="30">
        <f>COUNTIFS('AT. MEDICAS 2024'!$A$9:$A$874,"12/05/2025",'AT. MEDICAS 2024'!$I$9:$I$874,B125)</f>
        <v>0</v>
      </c>
      <c r="O125" s="30">
        <f>COUNTIFS('AT. MEDICAS 2024'!$A$9:$A$874,"13/05/2025",'AT. MEDICAS 2024'!$I$9:$I$874,B125)</f>
        <v>0</v>
      </c>
      <c r="P125" s="30">
        <f>COUNTIFS('AT. MEDICAS 2024'!$A$9:$A$874,"14/05/2025",'AT. MEDICAS 2024'!$I$9:$I$874,B125)</f>
        <v>0</v>
      </c>
      <c r="Q125" s="30">
        <f>COUNTIFS('AT. MEDICAS 2024'!$A$9:$A$874,"15/05/2025",'AT. MEDICAS 2024'!$I$9:$I$874,B125)</f>
        <v>0</v>
      </c>
      <c r="R125" s="30">
        <f>COUNTIFS('AT. MEDICAS 2024'!$A$9:$A$874,"16/05/2025",'AT. MEDICAS 2024'!$I$9:$I$874,B125)</f>
        <v>0</v>
      </c>
      <c r="S125" s="30">
        <f>COUNTIFS('AT. MEDICAS 2024'!$A$9:$A$874,"17/05/2025",'AT. MEDICAS 2024'!$I$9:$I$874,B125)</f>
        <v>0</v>
      </c>
      <c r="T125" s="30">
        <f>COUNTIFS('AT. MEDICAS 2024'!$A$9:$A$874,"18/05/2025",'AT. MEDICAS 2024'!$I$9:$I$874,B125)</f>
        <v>0</v>
      </c>
      <c r="U125" s="30">
        <f>COUNTIFS('AT. MEDICAS 2024'!$A$9:$A$874,"19/05/2025",'AT. MEDICAS 2024'!$I$9:$I$874,B125)</f>
        <v>0</v>
      </c>
      <c r="V125" s="30">
        <f>COUNTIFS('AT. MEDICAS 2024'!$A$9:$A$874,"20/05/2025",'AT. MEDICAS 2024'!$I$9:$I$874,B125)</f>
        <v>0</v>
      </c>
      <c r="W125" s="30">
        <f>COUNTIFS('AT. MEDICAS 2024'!$A$9:$A$874,"21/05/2025",'AT. MEDICAS 2024'!$I$9:$I$874,B125)</f>
        <v>0</v>
      </c>
      <c r="X125" s="30">
        <f>COUNTIFS('AT. MEDICAS 2024'!$A$9:$A$874,"22/05/2025",'AT. MEDICAS 2024'!$I$9:$I$874,B125)</f>
        <v>0</v>
      </c>
      <c r="Y125" s="30">
        <f>COUNTIFS('AT. MEDICAS 2024'!$A$9:$A$874,"23/05/2025",'AT. MEDICAS 2024'!$I$9:$I$874,B125)</f>
        <v>0</v>
      </c>
      <c r="Z125" s="30">
        <f>COUNTIFS('AT. MEDICAS 2024'!$A$9:$A$874,"24/05/2025",'AT. MEDICAS 2024'!$I$9:$I$874,B125)</f>
        <v>0</v>
      </c>
      <c r="AA125" s="30">
        <f>COUNTIFS('AT. MEDICAS 2024'!$A$9:$A$874,"25/05/2025",'AT. MEDICAS 2024'!$I$9:$I$874,B125)</f>
        <v>0</v>
      </c>
      <c r="AB125" s="30">
        <f>COUNTIFS('AT. MEDICAS 2024'!$A$9:$A$874,"26/05/2025",'AT. MEDICAS 2024'!$I$9:$I$874,B125)</f>
        <v>0</v>
      </c>
      <c r="AC125" s="30">
        <f>COUNTIFS('AT. MEDICAS 2024'!$A$9:$A$874,"27/05/2025",'AT. MEDICAS 2024'!$I$9:$I$874,B125)</f>
        <v>0</v>
      </c>
      <c r="AD125" s="30">
        <f>COUNTIFS('AT. MEDICAS 2024'!$A$9:$A$874,"28/05/2025",'AT. MEDICAS 2024'!$I$9:$I$874,B125)</f>
        <v>0</v>
      </c>
      <c r="AE125" s="30">
        <f>COUNTIFS('AT. MEDICAS 2024'!$A$9:$A$874,"29/05/2025",'AT. MEDICAS 2024'!$I$9:$I$874,B125)</f>
        <v>0</v>
      </c>
      <c r="AF125" s="30">
        <f>COUNTIFS('AT. MEDICAS 2024'!$A$9:$A$874,"30/05/2025",'AT. MEDICAS 2024'!$I$9:$I$874,B125)</f>
        <v>0</v>
      </c>
      <c r="AG125" s="30">
        <f>COUNTIFS('AT. MEDICAS 2024'!$A$9:$A$874,"31/05/2025",'AT. MEDICAS 2024'!$I$9:$I$874,B125)</f>
        <v>0</v>
      </c>
      <c r="AH125" s="55">
        <f t="shared" si="19"/>
        <v>0</v>
      </c>
    </row>
    <row r="126" spans="1:34" ht="13.8" thickBot="1" x14ac:dyDescent="0.3">
      <c r="A126" s="41">
        <v>16</v>
      </c>
      <c r="B126" s="54" t="s">
        <v>14</v>
      </c>
      <c r="C126" s="30">
        <f>COUNTIFS('AT. MEDICAS 2024'!$A$9:$A$874,"01/05/2025",'AT. MEDICAS 2024'!$I$9:$I$874,B126)</f>
        <v>0</v>
      </c>
      <c r="D126" s="30">
        <f>COUNTIFS('AT. MEDICAS 2024'!$A$9:$A$874,"02/05/2025",'AT. MEDICAS 2024'!$I$9:$I$874,B126)</f>
        <v>0</v>
      </c>
      <c r="E126" s="30">
        <f>COUNTIFS('AT. MEDICAS 2024'!$A$9:$A$874,"03/05/2025",'AT. MEDICAS 2024'!$I$9:$I$874,B126)</f>
        <v>0</v>
      </c>
      <c r="F126" s="30">
        <f>COUNTIFS('AT. MEDICAS 2024'!$A$9:$A$874,"04/05/2025",'AT. MEDICAS 2024'!$I$9:$I$874,B126)</f>
        <v>0</v>
      </c>
      <c r="G126" s="30">
        <f>COUNTIFS('AT. MEDICAS 2024'!$A$9:$A$874,"05/05/2025",'AT. MEDICAS 2024'!$I$9:$I$874,B126)</f>
        <v>0</v>
      </c>
      <c r="H126" s="30">
        <f>COUNTIFS('AT. MEDICAS 2024'!$A$9:$A$874,"06/05/2025",'AT. MEDICAS 2024'!$I$9:$I$874,B126)</f>
        <v>0</v>
      </c>
      <c r="I126" s="30">
        <f>COUNTIFS('AT. MEDICAS 2024'!$A$9:$A$874,"07/05/2025",'AT. MEDICAS 2024'!$I$9:$I$874,B126)</f>
        <v>0</v>
      </c>
      <c r="J126" s="30">
        <f>COUNTIFS('AT. MEDICAS 2024'!$A$9:$A$874,"08/05/2025",'AT. MEDICAS 2024'!$I$9:$I$874,B126)</f>
        <v>0</v>
      </c>
      <c r="K126" s="30">
        <f>COUNTIFS('AT. MEDICAS 2024'!$A$9:$A$874,"09/05/2025",'AT. MEDICAS 2024'!$I$9:$I$874,B126)</f>
        <v>0</v>
      </c>
      <c r="L126" s="30">
        <f>COUNTIFS('AT. MEDICAS 2024'!$A$9:$A$874,"10/05/2025",'AT. MEDICAS 2024'!$I$9:$I$874,B126)</f>
        <v>0</v>
      </c>
      <c r="M126" s="30">
        <f>COUNTIFS('AT. MEDICAS 2024'!$A$9:$A$874,"11/05/2025",'AT. MEDICAS 2024'!$I$9:$I$874,B126)</f>
        <v>0</v>
      </c>
      <c r="N126" s="30">
        <f>COUNTIFS('AT. MEDICAS 2024'!$A$9:$A$874,"12/05/2025",'AT. MEDICAS 2024'!$I$9:$I$874,B126)</f>
        <v>0</v>
      </c>
      <c r="O126" s="30">
        <f>COUNTIFS('AT. MEDICAS 2024'!$A$9:$A$874,"13/05/2025",'AT. MEDICAS 2024'!$I$9:$I$874,B126)</f>
        <v>0</v>
      </c>
      <c r="P126" s="30">
        <f>COUNTIFS('AT. MEDICAS 2024'!$A$9:$A$874,"14/05/2025",'AT. MEDICAS 2024'!$I$9:$I$874,B126)</f>
        <v>0</v>
      </c>
      <c r="Q126" s="30">
        <f>COUNTIFS('AT. MEDICAS 2024'!$A$9:$A$874,"15/05/2025",'AT. MEDICAS 2024'!$I$9:$I$874,B126)</f>
        <v>0</v>
      </c>
      <c r="R126" s="30">
        <f>COUNTIFS('AT. MEDICAS 2024'!$A$9:$A$874,"16/05/2025",'AT. MEDICAS 2024'!$I$9:$I$874,B126)</f>
        <v>0</v>
      </c>
      <c r="S126" s="30">
        <f>COUNTIFS('AT. MEDICAS 2024'!$A$9:$A$874,"17/05/2025",'AT. MEDICAS 2024'!$I$9:$I$874,B126)</f>
        <v>0</v>
      </c>
      <c r="T126" s="30">
        <f>COUNTIFS('AT. MEDICAS 2024'!$A$9:$A$874,"18/05/2025",'AT. MEDICAS 2024'!$I$9:$I$874,B126)</f>
        <v>0</v>
      </c>
      <c r="U126" s="30">
        <f>COUNTIFS('AT. MEDICAS 2024'!$A$9:$A$874,"19/05/2025",'AT. MEDICAS 2024'!$I$9:$I$874,B126)</f>
        <v>0</v>
      </c>
      <c r="V126" s="30">
        <f>COUNTIFS('AT. MEDICAS 2024'!$A$9:$A$874,"20/05/2025",'AT. MEDICAS 2024'!$I$9:$I$874,B126)</f>
        <v>0</v>
      </c>
      <c r="W126" s="30">
        <f>COUNTIFS('AT. MEDICAS 2024'!$A$9:$A$874,"21/05/2025",'AT. MEDICAS 2024'!$I$9:$I$874,B126)</f>
        <v>0</v>
      </c>
      <c r="X126" s="30">
        <f>COUNTIFS('AT. MEDICAS 2024'!$A$9:$A$874,"22/05/2025",'AT. MEDICAS 2024'!$I$9:$I$874,B126)</f>
        <v>0</v>
      </c>
      <c r="Y126" s="30">
        <f>COUNTIFS('AT. MEDICAS 2024'!$A$9:$A$874,"23/05/2025",'AT. MEDICAS 2024'!$I$9:$I$874,B126)</f>
        <v>0</v>
      </c>
      <c r="Z126" s="30">
        <f>COUNTIFS('AT. MEDICAS 2024'!$A$9:$A$874,"24/05/2025",'AT. MEDICAS 2024'!$I$9:$I$874,B126)</f>
        <v>0</v>
      </c>
      <c r="AA126" s="30">
        <f>COUNTIFS('AT. MEDICAS 2024'!$A$9:$A$874,"25/05/2025",'AT. MEDICAS 2024'!$I$9:$I$874,B126)</f>
        <v>0</v>
      </c>
      <c r="AB126" s="30">
        <f>COUNTIFS('AT. MEDICAS 2024'!$A$9:$A$874,"26/05/2025",'AT. MEDICAS 2024'!$I$9:$I$874,B126)</f>
        <v>0</v>
      </c>
      <c r="AC126" s="30">
        <f>COUNTIFS('AT. MEDICAS 2024'!$A$9:$A$874,"27/05/2025",'AT. MEDICAS 2024'!$I$9:$I$874,B126)</f>
        <v>0</v>
      </c>
      <c r="AD126" s="30">
        <f>COUNTIFS('AT. MEDICAS 2024'!$A$9:$A$874,"28/05/2025",'AT. MEDICAS 2024'!$I$9:$I$874,B126)</f>
        <v>0</v>
      </c>
      <c r="AE126" s="30">
        <f>COUNTIFS('AT. MEDICAS 2024'!$A$9:$A$874,"29/05/2025",'AT. MEDICAS 2024'!$I$9:$I$874,B126)</f>
        <v>0</v>
      </c>
      <c r="AF126" s="30">
        <f>COUNTIFS('AT. MEDICAS 2024'!$A$9:$A$874,"30/05/2025",'AT. MEDICAS 2024'!$I$9:$I$874,B126)</f>
        <v>0</v>
      </c>
      <c r="AG126" s="30">
        <f>COUNTIFS('AT. MEDICAS 2024'!$A$9:$A$874,"31/05/2025",'AT. MEDICAS 2024'!$I$9:$I$874,B126)</f>
        <v>0</v>
      </c>
      <c r="AH126" s="55">
        <f t="shared" si="19"/>
        <v>0</v>
      </c>
    </row>
    <row r="127" spans="1:34" ht="13.8" thickBot="1" x14ac:dyDescent="0.3">
      <c r="A127" s="41">
        <v>17</v>
      </c>
      <c r="B127" s="54" t="s">
        <v>72</v>
      </c>
      <c r="C127" s="30">
        <f>COUNTIFS('AT. MEDICAS 2024'!$A$9:$A$874,"01/05/2025",'AT. MEDICAS 2024'!$I$9:$I$874,B127)</f>
        <v>0</v>
      </c>
      <c r="D127" s="30">
        <f>COUNTIFS('AT. MEDICAS 2024'!$A$9:$A$874,"02/05/2025",'AT. MEDICAS 2024'!$I$9:$I$874,B127)</f>
        <v>0</v>
      </c>
      <c r="E127" s="30">
        <f>COUNTIFS('AT. MEDICAS 2024'!$A$9:$A$874,"03/05/2025",'AT. MEDICAS 2024'!$I$9:$I$874,B127)</f>
        <v>0</v>
      </c>
      <c r="F127" s="30">
        <f>COUNTIFS('AT. MEDICAS 2024'!$A$9:$A$874,"04/05/2025",'AT. MEDICAS 2024'!$I$9:$I$874,B127)</f>
        <v>0</v>
      </c>
      <c r="G127" s="30">
        <f>COUNTIFS('AT. MEDICAS 2024'!$A$9:$A$874,"05/05/2025",'AT. MEDICAS 2024'!$I$9:$I$874,B127)</f>
        <v>0</v>
      </c>
      <c r="H127" s="30">
        <f>COUNTIFS('AT. MEDICAS 2024'!$A$9:$A$874,"06/05/2025",'AT. MEDICAS 2024'!$I$9:$I$874,B127)</f>
        <v>0</v>
      </c>
      <c r="I127" s="30">
        <f>COUNTIFS('AT. MEDICAS 2024'!$A$9:$A$874,"07/05/2025",'AT. MEDICAS 2024'!$I$9:$I$874,B127)</f>
        <v>0</v>
      </c>
      <c r="J127" s="30">
        <f>COUNTIFS('AT. MEDICAS 2024'!$A$9:$A$874,"08/05/2025",'AT. MEDICAS 2024'!$I$9:$I$874,B127)</f>
        <v>0</v>
      </c>
      <c r="K127" s="30">
        <f>COUNTIFS('AT. MEDICAS 2024'!$A$9:$A$874,"09/05/2025",'AT. MEDICAS 2024'!$I$9:$I$874,B127)</f>
        <v>0</v>
      </c>
      <c r="L127" s="30">
        <f>COUNTIFS('AT. MEDICAS 2024'!$A$9:$A$874,"10/05/2025",'AT. MEDICAS 2024'!$I$9:$I$874,B127)</f>
        <v>0</v>
      </c>
      <c r="M127" s="30">
        <f>COUNTIFS('AT. MEDICAS 2024'!$A$9:$A$874,"11/05/2025",'AT. MEDICAS 2024'!$I$9:$I$874,B127)</f>
        <v>0</v>
      </c>
      <c r="N127" s="30">
        <f>COUNTIFS('AT. MEDICAS 2024'!$A$9:$A$874,"12/05/2025",'AT. MEDICAS 2024'!$I$9:$I$874,B127)</f>
        <v>0</v>
      </c>
      <c r="O127" s="30">
        <f>COUNTIFS('AT. MEDICAS 2024'!$A$9:$A$874,"13/05/2025",'AT. MEDICAS 2024'!$I$9:$I$874,B127)</f>
        <v>0</v>
      </c>
      <c r="P127" s="30">
        <f>COUNTIFS('AT. MEDICAS 2024'!$A$9:$A$874,"14/05/2025",'AT. MEDICAS 2024'!$I$9:$I$874,B127)</f>
        <v>0</v>
      </c>
      <c r="Q127" s="30">
        <f>COUNTIFS('AT. MEDICAS 2024'!$A$9:$A$874,"15/05/2025",'AT. MEDICAS 2024'!$I$9:$I$874,B127)</f>
        <v>0</v>
      </c>
      <c r="R127" s="30">
        <f>COUNTIFS('AT. MEDICAS 2024'!$A$9:$A$874,"16/05/2025",'AT. MEDICAS 2024'!$I$9:$I$874,B127)</f>
        <v>0</v>
      </c>
      <c r="S127" s="30">
        <f>COUNTIFS('AT. MEDICAS 2024'!$A$9:$A$874,"17/05/2025",'AT. MEDICAS 2024'!$I$9:$I$874,B127)</f>
        <v>0</v>
      </c>
      <c r="T127" s="30">
        <f>COUNTIFS('AT. MEDICAS 2024'!$A$9:$A$874,"18/05/2025",'AT. MEDICAS 2024'!$I$9:$I$874,B127)</f>
        <v>0</v>
      </c>
      <c r="U127" s="30">
        <f>COUNTIFS('AT. MEDICAS 2024'!$A$9:$A$874,"19/05/2025",'AT. MEDICAS 2024'!$I$9:$I$874,B127)</f>
        <v>0</v>
      </c>
      <c r="V127" s="30">
        <f>COUNTIFS('AT. MEDICAS 2024'!$A$9:$A$874,"20/05/2025",'AT. MEDICAS 2024'!$I$9:$I$874,B127)</f>
        <v>0</v>
      </c>
      <c r="W127" s="30">
        <f>COUNTIFS('AT. MEDICAS 2024'!$A$9:$A$874,"21/05/2025",'AT. MEDICAS 2024'!$I$9:$I$874,B127)</f>
        <v>0</v>
      </c>
      <c r="X127" s="30">
        <f>COUNTIFS('AT. MEDICAS 2024'!$A$9:$A$874,"22/05/2025",'AT. MEDICAS 2024'!$I$9:$I$874,B127)</f>
        <v>0</v>
      </c>
      <c r="Y127" s="30">
        <f>COUNTIFS('AT. MEDICAS 2024'!$A$9:$A$874,"23/05/2025",'AT. MEDICAS 2024'!$I$9:$I$874,B127)</f>
        <v>0</v>
      </c>
      <c r="Z127" s="30">
        <f>COUNTIFS('AT. MEDICAS 2024'!$A$9:$A$874,"24/05/2025",'AT. MEDICAS 2024'!$I$9:$I$874,B127)</f>
        <v>0</v>
      </c>
      <c r="AA127" s="30">
        <f>COUNTIFS('AT. MEDICAS 2024'!$A$9:$A$874,"25/05/2025",'AT. MEDICAS 2024'!$I$9:$I$874,B127)</f>
        <v>0</v>
      </c>
      <c r="AB127" s="30">
        <f>COUNTIFS('AT. MEDICAS 2024'!$A$9:$A$874,"26/05/2025",'AT. MEDICAS 2024'!$I$9:$I$874,B127)</f>
        <v>0</v>
      </c>
      <c r="AC127" s="30">
        <f>COUNTIFS('AT. MEDICAS 2024'!$A$9:$A$874,"27/05/2025",'AT. MEDICAS 2024'!$I$9:$I$874,B127)</f>
        <v>0</v>
      </c>
      <c r="AD127" s="30">
        <f>COUNTIFS('AT. MEDICAS 2024'!$A$9:$A$874,"28/05/2025",'AT. MEDICAS 2024'!$I$9:$I$874,B127)</f>
        <v>0</v>
      </c>
      <c r="AE127" s="30">
        <f>COUNTIFS('AT. MEDICAS 2024'!$A$9:$A$874,"29/05/2025",'AT. MEDICAS 2024'!$I$9:$I$874,B127)</f>
        <v>0</v>
      </c>
      <c r="AF127" s="30">
        <f>COUNTIFS('AT. MEDICAS 2024'!$A$9:$A$874,"30/05/2025",'AT. MEDICAS 2024'!$I$9:$I$874,B127)</f>
        <v>0</v>
      </c>
      <c r="AG127" s="30">
        <f>COUNTIFS('AT. MEDICAS 2024'!$A$9:$A$874,"31/05/2025",'AT. MEDICAS 2024'!$I$9:$I$874,B127)</f>
        <v>0</v>
      </c>
      <c r="AH127" s="55">
        <f t="shared" si="19"/>
        <v>0</v>
      </c>
    </row>
    <row r="128" spans="1:34" ht="13.8" thickBot="1" x14ac:dyDescent="0.3">
      <c r="A128" s="41">
        <v>18</v>
      </c>
      <c r="B128" s="54" t="s">
        <v>190</v>
      </c>
      <c r="C128" s="30">
        <f>COUNTIFS('AT. MEDICAS 2024'!$A$9:$A$874,"01/05/2025",'AT. MEDICAS 2024'!$I$9:$I$874,B128)</f>
        <v>0</v>
      </c>
      <c r="D128" s="30">
        <f>COUNTIFS('AT. MEDICAS 2024'!$A$9:$A$874,"02/05/2025",'AT. MEDICAS 2024'!$I$9:$I$874,B128)</f>
        <v>0</v>
      </c>
      <c r="E128" s="30">
        <f>COUNTIFS('AT. MEDICAS 2024'!$A$9:$A$874,"03/05/2025",'AT. MEDICAS 2024'!$I$9:$I$874,B128)</f>
        <v>0</v>
      </c>
      <c r="F128" s="30">
        <f>COUNTIFS('AT. MEDICAS 2024'!$A$9:$A$874,"04/05/2025",'AT. MEDICAS 2024'!$I$9:$I$874,B128)</f>
        <v>0</v>
      </c>
      <c r="G128" s="30">
        <f>COUNTIFS('AT. MEDICAS 2024'!$A$9:$A$874,"05/05/2025",'AT. MEDICAS 2024'!$I$9:$I$874,B128)</f>
        <v>0</v>
      </c>
      <c r="H128" s="30">
        <f>COUNTIFS('AT. MEDICAS 2024'!$A$9:$A$874,"06/05/2025",'AT. MEDICAS 2024'!$I$9:$I$874,B128)</f>
        <v>0</v>
      </c>
      <c r="I128" s="30">
        <f>COUNTIFS('AT. MEDICAS 2024'!$A$9:$A$874,"07/05/2025",'AT. MEDICAS 2024'!$I$9:$I$874,B128)</f>
        <v>0</v>
      </c>
      <c r="J128" s="30">
        <f>COUNTIFS('AT. MEDICAS 2024'!$A$9:$A$874,"08/05/2025",'AT. MEDICAS 2024'!$I$9:$I$874,B128)</f>
        <v>0</v>
      </c>
      <c r="K128" s="30">
        <f>COUNTIFS('AT. MEDICAS 2024'!$A$9:$A$874,"09/05/2025",'AT. MEDICAS 2024'!$I$9:$I$874,B128)</f>
        <v>0</v>
      </c>
      <c r="L128" s="30">
        <f>COUNTIFS('AT. MEDICAS 2024'!$A$9:$A$874,"10/05/2025",'AT. MEDICAS 2024'!$I$9:$I$874,B128)</f>
        <v>0</v>
      </c>
      <c r="M128" s="30">
        <f>COUNTIFS('AT. MEDICAS 2024'!$A$9:$A$874,"11/05/2025",'AT. MEDICAS 2024'!$I$9:$I$874,B128)</f>
        <v>0</v>
      </c>
      <c r="N128" s="30">
        <f>COUNTIFS('AT. MEDICAS 2024'!$A$9:$A$874,"12/05/2025",'AT. MEDICAS 2024'!$I$9:$I$874,B128)</f>
        <v>0</v>
      </c>
      <c r="O128" s="30">
        <f>COUNTIFS('AT. MEDICAS 2024'!$A$9:$A$874,"13/05/2025",'AT. MEDICAS 2024'!$I$9:$I$874,B128)</f>
        <v>0</v>
      </c>
      <c r="P128" s="30">
        <f>COUNTIFS('AT. MEDICAS 2024'!$A$9:$A$874,"14/05/2025",'AT. MEDICAS 2024'!$I$9:$I$874,B128)</f>
        <v>0</v>
      </c>
      <c r="Q128" s="30">
        <f>COUNTIFS('AT. MEDICAS 2024'!$A$9:$A$874,"15/05/2025",'AT. MEDICAS 2024'!$I$9:$I$874,B128)</f>
        <v>0</v>
      </c>
      <c r="R128" s="30">
        <f>COUNTIFS('AT. MEDICAS 2024'!$A$9:$A$874,"16/05/2025",'AT. MEDICAS 2024'!$I$9:$I$874,B128)</f>
        <v>0</v>
      </c>
      <c r="S128" s="30">
        <f>COUNTIFS('AT. MEDICAS 2024'!$A$9:$A$874,"17/05/2025",'AT. MEDICAS 2024'!$I$9:$I$874,B128)</f>
        <v>0</v>
      </c>
      <c r="T128" s="30">
        <f>COUNTIFS('AT. MEDICAS 2024'!$A$9:$A$874,"18/05/2025",'AT. MEDICAS 2024'!$I$9:$I$874,B128)</f>
        <v>0</v>
      </c>
      <c r="U128" s="30">
        <f>COUNTIFS('AT. MEDICAS 2024'!$A$9:$A$874,"19/05/2025",'AT. MEDICAS 2024'!$I$9:$I$874,B128)</f>
        <v>0</v>
      </c>
      <c r="V128" s="30">
        <f>COUNTIFS('AT. MEDICAS 2024'!$A$9:$A$874,"20/05/2025",'AT. MEDICAS 2024'!$I$9:$I$874,B128)</f>
        <v>0</v>
      </c>
      <c r="W128" s="30">
        <f>COUNTIFS('AT. MEDICAS 2024'!$A$9:$A$874,"21/05/2025",'AT. MEDICAS 2024'!$I$9:$I$874,B128)</f>
        <v>0</v>
      </c>
      <c r="X128" s="30">
        <f>COUNTIFS('AT. MEDICAS 2024'!$A$9:$A$874,"22/05/2025",'AT. MEDICAS 2024'!$I$9:$I$874,B128)</f>
        <v>0</v>
      </c>
      <c r="Y128" s="30">
        <f>COUNTIFS('AT. MEDICAS 2024'!$A$9:$A$874,"23/05/2025",'AT. MEDICAS 2024'!$I$9:$I$874,B128)</f>
        <v>0</v>
      </c>
      <c r="Z128" s="30">
        <f>COUNTIFS('AT. MEDICAS 2024'!$A$9:$A$874,"24/05/2025",'AT. MEDICAS 2024'!$I$9:$I$874,B128)</f>
        <v>0</v>
      </c>
      <c r="AA128" s="30">
        <f>COUNTIFS('AT. MEDICAS 2024'!$A$9:$A$874,"25/05/2025",'AT. MEDICAS 2024'!$I$9:$I$874,B128)</f>
        <v>0</v>
      </c>
      <c r="AB128" s="30">
        <f>COUNTIFS('AT. MEDICAS 2024'!$A$9:$A$874,"26/05/2025",'AT. MEDICAS 2024'!$I$9:$I$874,B128)</f>
        <v>0</v>
      </c>
      <c r="AC128" s="30">
        <f>COUNTIFS('AT. MEDICAS 2024'!$A$9:$A$874,"27/05/2025",'AT. MEDICAS 2024'!$I$9:$I$874,B128)</f>
        <v>0</v>
      </c>
      <c r="AD128" s="30">
        <f>COUNTIFS('AT. MEDICAS 2024'!$A$9:$A$874,"28/05/2025",'AT. MEDICAS 2024'!$I$9:$I$874,B128)</f>
        <v>0</v>
      </c>
      <c r="AE128" s="30">
        <f>COUNTIFS('AT. MEDICAS 2024'!$A$9:$A$874,"29/05/2025",'AT. MEDICAS 2024'!$I$9:$I$874,B128)</f>
        <v>0</v>
      </c>
      <c r="AF128" s="30">
        <f>COUNTIFS('AT. MEDICAS 2024'!$A$9:$A$874,"30/05/2025",'AT. MEDICAS 2024'!$I$9:$I$874,B128)</f>
        <v>0</v>
      </c>
      <c r="AG128" s="30">
        <f>COUNTIFS('AT. MEDICAS 2024'!$A$9:$A$874,"31/05/2025",'AT. MEDICAS 2024'!$I$9:$I$874,B128)</f>
        <v>0</v>
      </c>
      <c r="AH128" s="55">
        <f t="shared" si="19"/>
        <v>0</v>
      </c>
    </row>
    <row r="129" spans="1:34" ht="13.8" thickBot="1" x14ac:dyDescent="0.3">
      <c r="A129" s="41">
        <v>19</v>
      </c>
      <c r="B129" s="54" t="s">
        <v>118</v>
      </c>
      <c r="C129" s="30">
        <f>COUNTIFS('AT. MEDICAS 2024'!$A$9:$A$874,"01/05/2025",'AT. MEDICAS 2024'!$I$9:$I$874,B129)</f>
        <v>0</v>
      </c>
      <c r="D129" s="30">
        <f>COUNTIFS('AT. MEDICAS 2024'!$A$9:$A$874,"02/05/2025",'AT. MEDICAS 2024'!$I$9:$I$874,B129)</f>
        <v>0</v>
      </c>
      <c r="E129" s="30">
        <f>COUNTIFS('AT. MEDICAS 2024'!$A$9:$A$874,"03/05/2025",'AT. MEDICAS 2024'!$I$9:$I$874,B129)</f>
        <v>0</v>
      </c>
      <c r="F129" s="30">
        <f>COUNTIFS('AT. MEDICAS 2024'!$A$9:$A$874,"04/05/2025",'AT. MEDICAS 2024'!$I$9:$I$874,B129)</f>
        <v>0</v>
      </c>
      <c r="G129" s="30">
        <f>COUNTIFS('AT. MEDICAS 2024'!$A$9:$A$874,"05/05/2025",'AT. MEDICAS 2024'!$I$9:$I$874,B129)</f>
        <v>0</v>
      </c>
      <c r="H129" s="30">
        <f>COUNTIFS('AT. MEDICAS 2024'!$A$9:$A$874,"06/05/2025",'AT. MEDICAS 2024'!$I$9:$I$874,B129)</f>
        <v>0</v>
      </c>
      <c r="I129" s="30">
        <f>COUNTIFS('AT. MEDICAS 2024'!$A$9:$A$874,"07/05/2025",'AT. MEDICAS 2024'!$I$9:$I$874,B129)</f>
        <v>0</v>
      </c>
      <c r="J129" s="30">
        <f>COUNTIFS('AT. MEDICAS 2024'!$A$9:$A$874,"08/05/2025",'AT. MEDICAS 2024'!$I$9:$I$874,B129)</f>
        <v>0</v>
      </c>
      <c r="K129" s="30">
        <f>COUNTIFS('AT. MEDICAS 2024'!$A$9:$A$874,"09/05/2025",'AT. MEDICAS 2024'!$I$9:$I$874,B129)</f>
        <v>0</v>
      </c>
      <c r="L129" s="30">
        <f>COUNTIFS('AT. MEDICAS 2024'!$A$9:$A$874,"10/05/2025",'AT. MEDICAS 2024'!$I$9:$I$874,B129)</f>
        <v>0</v>
      </c>
      <c r="M129" s="30">
        <f>COUNTIFS('AT. MEDICAS 2024'!$A$9:$A$874,"11/05/2025",'AT. MEDICAS 2024'!$I$9:$I$874,B129)</f>
        <v>0</v>
      </c>
      <c r="N129" s="30">
        <f>COUNTIFS('AT. MEDICAS 2024'!$A$9:$A$874,"12/05/2025",'AT. MEDICAS 2024'!$I$9:$I$874,B129)</f>
        <v>0</v>
      </c>
      <c r="O129" s="30">
        <f>COUNTIFS('AT. MEDICAS 2024'!$A$9:$A$874,"13/05/2025",'AT. MEDICAS 2024'!$I$9:$I$874,B129)</f>
        <v>0</v>
      </c>
      <c r="P129" s="30">
        <f>COUNTIFS('AT. MEDICAS 2024'!$A$9:$A$874,"14/05/2025",'AT. MEDICAS 2024'!$I$9:$I$874,B129)</f>
        <v>0</v>
      </c>
      <c r="Q129" s="30">
        <f>COUNTIFS('AT. MEDICAS 2024'!$A$9:$A$874,"15/05/2025",'AT. MEDICAS 2024'!$I$9:$I$874,B129)</f>
        <v>0</v>
      </c>
      <c r="R129" s="30">
        <f>COUNTIFS('AT. MEDICAS 2024'!$A$9:$A$874,"16/05/2025",'AT. MEDICAS 2024'!$I$9:$I$874,B129)</f>
        <v>0</v>
      </c>
      <c r="S129" s="30">
        <f>COUNTIFS('AT. MEDICAS 2024'!$A$9:$A$874,"17/05/2025",'AT. MEDICAS 2024'!$I$9:$I$874,B129)</f>
        <v>0</v>
      </c>
      <c r="T129" s="30">
        <f>COUNTIFS('AT. MEDICAS 2024'!$A$9:$A$874,"18/05/2025",'AT. MEDICAS 2024'!$I$9:$I$874,B129)</f>
        <v>0</v>
      </c>
      <c r="U129" s="30">
        <f>COUNTIFS('AT. MEDICAS 2024'!$A$9:$A$874,"19/05/2025",'AT. MEDICAS 2024'!$I$9:$I$874,B129)</f>
        <v>0</v>
      </c>
      <c r="V129" s="30">
        <f>COUNTIFS('AT. MEDICAS 2024'!$A$9:$A$874,"20/05/2025",'AT. MEDICAS 2024'!$I$9:$I$874,B129)</f>
        <v>0</v>
      </c>
      <c r="W129" s="30">
        <f>COUNTIFS('AT. MEDICAS 2024'!$A$9:$A$874,"21/05/2025",'AT. MEDICAS 2024'!$I$9:$I$874,B129)</f>
        <v>0</v>
      </c>
      <c r="X129" s="30">
        <f>COUNTIFS('AT. MEDICAS 2024'!$A$9:$A$874,"22/05/2025",'AT. MEDICAS 2024'!$I$9:$I$874,B129)</f>
        <v>0</v>
      </c>
      <c r="Y129" s="30">
        <f>COUNTIFS('AT. MEDICAS 2024'!$A$9:$A$874,"23/05/2025",'AT. MEDICAS 2024'!$I$9:$I$874,B129)</f>
        <v>0</v>
      </c>
      <c r="Z129" s="30">
        <f>COUNTIFS('AT. MEDICAS 2024'!$A$9:$A$874,"24/05/2025",'AT. MEDICAS 2024'!$I$9:$I$874,B129)</f>
        <v>0</v>
      </c>
      <c r="AA129" s="30">
        <f>COUNTIFS('AT. MEDICAS 2024'!$A$9:$A$874,"25/05/2025",'AT. MEDICAS 2024'!$I$9:$I$874,B129)</f>
        <v>0</v>
      </c>
      <c r="AB129" s="30">
        <f>COUNTIFS('AT. MEDICAS 2024'!$A$9:$A$874,"26/05/2025",'AT. MEDICAS 2024'!$I$9:$I$874,B129)</f>
        <v>0</v>
      </c>
      <c r="AC129" s="30">
        <f>COUNTIFS('AT. MEDICAS 2024'!$A$9:$A$874,"27/05/2025",'AT. MEDICAS 2024'!$I$9:$I$874,B129)</f>
        <v>0</v>
      </c>
      <c r="AD129" s="30">
        <f>COUNTIFS('AT. MEDICAS 2024'!$A$9:$A$874,"28/05/2025",'AT. MEDICAS 2024'!$I$9:$I$874,B129)</f>
        <v>0</v>
      </c>
      <c r="AE129" s="30">
        <f>COUNTIFS('AT. MEDICAS 2024'!$A$9:$A$874,"29/05/2025",'AT. MEDICAS 2024'!$I$9:$I$874,B129)</f>
        <v>0</v>
      </c>
      <c r="AF129" s="30">
        <f>COUNTIFS('AT. MEDICAS 2024'!$A$9:$A$874,"30/05/2025",'AT. MEDICAS 2024'!$I$9:$I$874,B129)</f>
        <v>0</v>
      </c>
      <c r="AG129" s="30">
        <f>COUNTIFS('AT. MEDICAS 2024'!$A$9:$A$874,"31/05/2025",'AT. MEDICAS 2024'!$I$9:$I$874,B129)</f>
        <v>0</v>
      </c>
      <c r="AH129" s="55">
        <f t="shared" si="19"/>
        <v>0</v>
      </c>
    </row>
    <row r="130" spans="1:34" ht="13.8" thickBot="1" x14ac:dyDescent="0.3">
      <c r="A130" s="41">
        <v>20</v>
      </c>
      <c r="B130" s="54" t="s">
        <v>31</v>
      </c>
      <c r="C130" s="30">
        <f>COUNTIFS('AT. MEDICAS 2024'!$A$9:$A$874,"01/05/2025",'AT. MEDICAS 2024'!$I$9:$I$874,B130)</f>
        <v>0</v>
      </c>
      <c r="D130" s="30">
        <f>COUNTIFS('AT. MEDICAS 2024'!$A$9:$A$874,"02/05/2025",'AT. MEDICAS 2024'!$I$9:$I$874,B130)</f>
        <v>0</v>
      </c>
      <c r="E130" s="30">
        <f>COUNTIFS('AT. MEDICAS 2024'!$A$9:$A$874,"03/05/2025",'AT. MEDICAS 2024'!$I$9:$I$874,B130)</f>
        <v>0</v>
      </c>
      <c r="F130" s="30">
        <f>COUNTIFS('AT. MEDICAS 2024'!$A$9:$A$874,"04/05/2025",'AT. MEDICAS 2024'!$I$9:$I$874,B130)</f>
        <v>0</v>
      </c>
      <c r="G130" s="30">
        <f>COUNTIFS('AT. MEDICAS 2024'!$A$9:$A$874,"05/05/2025",'AT. MEDICAS 2024'!$I$9:$I$874,B130)</f>
        <v>0</v>
      </c>
      <c r="H130" s="30">
        <f>COUNTIFS('AT. MEDICAS 2024'!$A$9:$A$874,"06/05/2025",'AT. MEDICAS 2024'!$I$9:$I$874,B130)</f>
        <v>0</v>
      </c>
      <c r="I130" s="30">
        <f>COUNTIFS('AT. MEDICAS 2024'!$A$9:$A$874,"07/05/2025",'AT. MEDICAS 2024'!$I$9:$I$874,B130)</f>
        <v>0</v>
      </c>
      <c r="J130" s="30">
        <f>COUNTIFS('AT. MEDICAS 2024'!$A$9:$A$874,"08/05/2025",'AT. MEDICAS 2024'!$I$9:$I$874,B130)</f>
        <v>0</v>
      </c>
      <c r="K130" s="30">
        <f>COUNTIFS('AT. MEDICAS 2024'!$A$9:$A$874,"09/05/2025",'AT. MEDICAS 2024'!$I$9:$I$874,B130)</f>
        <v>0</v>
      </c>
      <c r="L130" s="30">
        <f>COUNTIFS('AT. MEDICAS 2024'!$A$9:$A$874,"10/05/2025",'AT. MEDICAS 2024'!$I$9:$I$874,B130)</f>
        <v>0</v>
      </c>
      <c r="M130" s="30">
        <f>COUNTIFS('AT. MEDICAS 2024'!$A$9:$A$874,"11/05/2025",'AT. MEDICAS 2024'!$I$9:$I$874,B130)</f>
        <v>0</v>
      </c>
      <c r="N130" s="30">
        <f>COUNTIFS('AT. MEDICAS 2024'!$A$9:$A$874,"12/05/2025",'AT. MEDICAS 2024'!$I$9:$I$874,B130)</f>
        <v>0</v>
      </c>
      <c r="O130" s="30">
        <f>COUNTIFS('AT. MEDICAS 2024'!$A$9:$A$874,"13/05/2025",'AT. MEDICAS 2024'!$I$9:$I$874,B130)</f>
        <v>0</v>
      </c>
      <c r="P130" s="30">
        <f>COUNTIFS('AT. MEDICAS 2024'!$A$9:$A$874,"14/05/2025",'AT. MEDICAS 2024'!$I$9:$I$874,B130)</f>
        <v>0</v>
      </c>
      <c r="Q130" s="30">
        <f>COUNTIFS('AT. MEDICAS 2024'!$A$9:$A$874,"15/05/2025",'AT. MEDICAS 2024'!$I$9:$I$874,B130)</f>
        <v>0</v>
      </c>
      <c r="R130" s="30">
        <f>COUNTIFS('AT. MEDICAS 2024'!$A$9:$A$874,"16/05/2025",'AT. MEDICAS 2024'!$I$9:$I$874,B130)</f>
        <v>0</v>
      </c>
      <c r="S130" s="30">
        <f>COUNTIFS('AT. MEDICAS 2024'!$A$9:$A$874,"17/05/2025",'AT. MEDICAS 2024'!$I$9:$I$874,B130)</f>
        <v>0</v>
      </c>
      <c r="T130" s="30">
        <f>COUNTIFS('AT. MEDICAS 2024'!$A$9:$A$874,"18/05/2025",'AT. MEDICAS 2024'!$I$9:$I$874,B130)</f>
        <v>0</v>
      </c>
      <c r="U130" s="30">
        <f>COUNTIFS('AT. MEDICAS 2024'!$A$9:$A$874,"19/05/2025",'AT. MEDICAS 2024'!$I$9:$I$874,B130)</f>
        <v>0</v>
      </c>
      <c r="V130" s="30">
        <f>COUNTIFS('AT. MEDICAS 2024'!$A$9:$A$874,"20/05/2025",'AT. MEDICAS 2024'!$I$9:$I$874,B130)</f>
        <v>0</v>
      </c>
      <c r="W130" s="30">
        <f>COUNTIFS('AT. MEDICAS 2024'!$A$9:$A$874,"21/05/2025",'AT. MEDICAS 2024'!$I$9:$I$874,B130)</f>
        <v>0</v>
      </c>
      <c r="X130" s="30">
        <f>COUNTIFS('AT. MEDICAS 2024'!$A$9:$A$874,"22/05/2025",'AT. MEDICAS 2024'!$I$9:$I$874,B130)</f>
        <v>0</v>
      </c>
      <c r="Y130" s="30">
        <f>COUNTIFS('AT. MEDICAS 2024'!$A$9:$A$874,"23/05/2025",'AT. MEDICAS 2024'!$I$9:$I$874,B130)</f>
        <v>0</v>
      </c>
      <c r="Z130" s="30">
        <f>COUNTIFS('AT. MEDICAS 2024'!$A$9:$A$874,"24/05/2025",'AT. MEDICAS 2024'!$I$9:$I$874,B130)</f>
        <v>0</v>
      </c>
      <c r="AA130" s="30">
        <f>COUNTIFS('AT. MEDICAS 2024'!$A$9:$A$874,"25/05/2025",'AT. MEDICAS 2024'!$I$9:$I$874,B130)</f>
        <v>0</v>
      </c>
      <c r="AB130" s="30">
        <f>COUNTIFS('AT. MEDICAS 2024'!$A$9:$A$874,"26/05/2025",'AT. MEDICAS 2024'!$I$9:$I$874,B130)</f>
        <v>0</v>
      </c>
      <c r="AC130" s="30">
        <f>COUNTIFS('AT. MEDICAS 2024'!$A$9:$A$874,"27/05/2025",'AT. MEDICAS 2024'!$I$9:$I$874,B130)</f>
        <v>0</v>
      </c>
      <c r="AD130" s="30">
        <f>COUNTIFS('AT. MEDICAS 2024'!$A$9:$A$874,"28/05/2025",'AT. MEDICAS 2024'!$I$9:$I$874,B130)</f>
        <v>0</v>
      </c>
      <c r="AE130" s="30">
        <f>COUNTIFS('AT. MEDICAS 2024'!$A$9:$A$874,"29/05/2025",'AT. MEDICAS 2024'!$I$9:$I$874,B130)</f>
        <v>0</v>
      </c>
      <c r="AF130" s="30">
        <f>COUNTIFS('AT. MEDICAS 2024'!$A$9:$A$874,"30/05/2025",'AT. MEDICAS 2024'!$I$9:$I$874,B130)</f>
        <v>0</v>
      </c>
      <c r="AG130" s="30">
        <f>COUNTIFS('AT. MEDICAS 2024'!$A$9:$A$874,"31/05/2025",'AT. MEDICAS 2024'!$I$9:$I$874,B130)</f>
        <v>0</v>
      </c>
      <c r="AH130" s="55">
        <f t="shared" si="19"/>
        <v>0</v>
      </c>
    </row>
    <row r="131" spans="1:34" ht="18.600000000000001" customHeight="1" thickBot="1" x14ac:dyDescent="0.3">
      <c r="A131" s="92"/>
      <c r="B131" s="93"/>
      <c r="C131" s="55">
        <f>SUM(C111:C130)</f>
        <v>0</v>
      </c>
      <c r="D131" s="55">
        <f t="shared" ref="D131:AE131" si="20">SUM(D111:D130)</f>
        <v>0</v>
      </c>
      <c r="E131" s="55">
        <f t="shared" si="20"/>
        <v>0</v>
      </c>
      <c r="F131" s="55">
        <f t="shared" si="20"/>
        <v>0</v>
      </c>
      <c r="G131" s="55">
        <f t="shared" si="20"/>
        <v>0</v>
      </c>
      <c r="H131" s="55">
        <f t="shared" si="20"/>
        <v>0</v>
      </c>
      <c r="I131" s="55">
        <f t="shared" si="20"/>
        <v>0</v>
      </c>
      <c r="J131" s="55">
        <f t="shared" si="20"/>
        <v>0</v>
      </c>
      <c r="K131" s="55">
        <f t="shared" si="20"/>
        <v>0</v>
      </c>
      <c r="L131" s="55">
        <f t="shared" si="20"/>
        <v>0</v>
      </c>
      <c r="M131" s="55">
        <f t="shared" si="20"/>
        <v>0</v>
      </c>
      <c r="N131" s="55">
        <f t="shared" si="20"/>
        <v>0</v>
      </c>
      <c r="O131" s="55">
        <f t="shared" si="20"/>
        <v>0</v>
      </c>
      <c r="P131" s="55">
        <f t="shared" si="20"/>
        <v>0</v>
      </c>
      <c r="Q131" s="55">
        <f t="shared" si="20"/>
        <v>0</v>
      </c>
      <c r="R131" s="55">
        <f t="shared" si="20"/>
        <v>0</v>
      </c>
      <c r="S131" s="55">
        <f t="shared" si="20"/>
        <v>0</v>
      </c>
      <c r="T131" s="55">
        <f t="shared" si="20"/>
        <v>0</v>
      </c>
      <c r="U131" s="55">
        <f t="shared" si="20"/>
        <v>0</v>
      </c>
      <c r="V131" s="55">
        <f t="shared" si="20"/>
        <v>0</v>
      </c>
      <c r="W131" s="55">
        <f t="shared" si="20"/>
        <v>0</v>
      </c>
      <c r="X131" s="55">
        <f t="shared" si="20"/>
        <v>0</v>
      </c>
      <c r="Y131" s="55">
        <f t="shared" si="20"/>
        <v>0</v>
      </c>
      <c r="Z131" s="55">
        <f t="shared" si="20"/>
        <v>0</v>
      </c>
      <c r="AA131" s="55">
        <f t="shared" si="20"/>
        <v>0</v>
      </c>
      <c r="AB131" s="55">
        <f t="shared" si="20"/>
        <v>0</v>
      </c>
      <c r="AC131" s="55">
        <f t="shared" si="20"/>
        <v>0</v>
      </c>
      <c r="AD131" s="55">
        <f t="shared" si="20"/>
        <v>0</v>
      </c>
      <c r="AE131" s="55">
        <f t="shared" si="20"/>
        <v>0</v>
      </c>
      <c r="AF131" s="55">
        <f>SUM(AF111:AF130)</f>
        <v>0</v>
      </c>
      <c r="AG131" s="55">
        <f>SUM(AG111:AG130)</f>
        <v>0</v>
      </c>
      <c r="AH131" s="30">
        <f>SUM(AH111:AH130)</f>
        <v>0</v>
      </c>
    </row>
    <row r="133" spans="1:34" ht="30" customHeight="1" x14ac:dyDescent="0.25">
      <c r="A133" s="92" t="s">
        <v>174</v>
      </c>
      <c r="B133" s="93"/>
      <c r="C133" s="111">
        <v>45809</v>
      </c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3" t="s">
        <v>178</v>
      </c>
    </row>
    <row r="134" spans="1:34" ht="13.8" thickBot="1" x14ac:dyDescent="0.3">
      <c r="A134" s="115" t="s">
        <v>175</v>
      </c>
      <c r="B134" s="115" t="s">
        <v>176</v>
      </c>
      <c r="C134" s="45">
        <v>1</v>
      </c>
      <c r="D134" s="45">
        <v>2</v>
      </c>
      <c r="E134" s="45">
        <v>3</v>
      </c>
      <c r="F134" s="45">
        <v>4</v>
      </c>
      <c r="G134" s="45">
        <v>5</v>
      </c>
      <c r="H134" s="45">
        <v>6</v>
      </c>
      <c r="I134" s="45">
        <v>7</v>
      </c>
      <c r="J134" s="45">
        <v>8</v>
      </c>
      <c r="K134" s="45">
        <v>9</v>
      </c>
      <c r="L134" s="45">
        <v>10</v>
      </c>
      <c r="M134" s="45">
        <v>11</v>
      </c>
      <c r="N134" s="45">
        <v>12</v>
      </c>
      <c r="O134" s="45">
        <v>13</v>
      </c>
      <c r="P134" s="45">
        <v>14</v>
      </c>
      <c r="Q134" s="45">
        <v>15</v>
      </c>
      <c r="R134" s="45">
        <v>16</v>
      </c>
      <c r="S134" s="45">
        <v>17</v>
      </c>
      <c r="T134" s="45">
        <v>18</v>
      </c>
      <c r="U134" s="45">
        <v>19</v>
      </c>
      <c r="V134" s="45">
        <v>20</v>
      </c>
      <c r="W134" s="45">
        <v>21</v>
      </c>
      <c r="X134" s="45">
        <v>22</v>
      </c>
      <c r="Y134" s="45">
        <v>23</v>
      </c>
      <c r="Z134" s="45">
        <v>24</v>
      </c>
      <c r="AA134" s="45">
        <v>25</v>
      </c>
      <c r="AB134" s="45">
        <v>26</v>
      </c>
      <c r="AC134" s="45">
        <v>27</v>
      </c>
      <c r="AD134" s="45">
        <v>28</v>
      </c>
      <c r="AE134" s="45">
        <v>29</v>
      </c>
      <c r="AF134" s="45">
        <v>30</v>
      </c>
      <c r="AG134" s="45"/>
      <c r="AH134" s="114"/>
    </row>
    <row r="135" spans="1:34" ht="13.8" thickBot="1" x14ac:dyDescent="0.3">
      <c r="A135" s="116"/>
      <c r="B135" s="116"/>
      <c r="C135" s="28" t="s">
        <v>183</v>
      </c>
      <c r="D135" s="28" t="s">
        <v>179</v>
      </c>
      <c r="E135" s="28" t="s">
        <v>24</v>
      </c>
      <c r="F135" s="28" t="s">
        <v>24</v>
      </c>
      <c r="G135" s="28" t="s">
        <v>180</v>
      </c>
      <c r="H135" s="28" t="s">
        <v>181</v>
      </c>
      <c r="I135" s="28" t="s">
        <v>182</v>
      </c>
      <c r="J135" s="28" t="s">
        <v>183</v>
      </c>
      <c r="K135" s="28" t="s">
        <v>179</v>
      </c>
      <c r="L135" s="28" t="s">
        <v>24</v>
      </c>
      <c r="M135" s="28" t="s">
        <v>24</v>
      </c>
      <c r="N135" s="28" t="s">
        <v>180</v>
      </c>
      <c r="O135" s="28" t="s">
        <v>181</v>
      </c>
      <c r="P135" s="28" t="s">
        <v>182</v>
      </c>
      <c r="Q135" s="28" t="s">
        <v>183</v>
      </c>
      <c r="R135" s="28" t="s">
        <v>179</v>
      </c>
      <c r="S135" s="28" t="s">
        <v>24</v>
      </c>
      <c r="T135" s="28" t="s">
        <v>24</v>
      </c>
      <c r="U135" s="28" t="s">
        <v>180</v>
      </c>
      <c r="V135" s="28" t="s">
        <v>181</v>
      </c>
      <c r="W135" s="28" t="s">
        <v>182</v>
      </c>
      <c r="X135" s="28" t="s">
        <v>183</v>
      </c>
      <c r="Y135" s="28" t="s">
        <v>179</v>
      </c>
      <c r="Z135" s="28" t="s">
        <v>24</v>
      </c>
      <c r="AA135" s="28" t="s">
        <v>24</v>
      </c>
      <c r="AB135" s="28" t="s">
        <v>180</v>
      </c>
      <c r="AC135" s="28" t="s">
        <v>181</v>
      </c>
      <c r="AD135" s="28" t="s">
        <v>182</v>
      </c>
      <c r="AE135" s="28" t="s">
        <v>183</v>
      </c>
      <c r="AF135" s="28" t="s">
        <v>179</v>
      </c>
      <c r="AG135" s="28"/>
      <c r="AH135" s="17" t="s">
        <v>184</v>
      </c>
    </row>
    <row r="136" spans="1:34" ht="13.8" thickBot="1" x14ac:dyDescent="0.3">
      <c r="A136" s="41">
        <v>1</v>
      </c>
      <c r="B136" s="54" t="s">
        <v>185</v>
      </c>
      <c r="C136" s="30">
        <f>COUNTIFS('AT. MEDICAS 2024'!$A$9:$A$874,"01/06/2025",'AT. MEDICAS 2024'!$I$9:$I$874,B136)</f>
        <v>0</v>
      </c>
      <c r="D136" s="30">
        <f>COUNTIFS('AT. MEDICAS 2024'!$A$9:$A$874,"02/06/2025",'AT. MEDICAS 2024'!$I$9:$I$874,B136)</f>
        <v>0</v>
      </c>
      <c r="E136" s="30">
        <f>COUNTIFS('AT. MEDICAS 2024'!$A$9:$A$874,"03/06/2025",'AT. MEDICAS 2024'!$I$9:$I$874,B136)</f>
        <v>0</v>
      </c>
      <c r="F136" s="30">
        <f>COUNTIFS('AT. MEDICAS 2024'!$A$9:$A$874,"04/06/2025",'AT. MEDICAS 2024'!$I$9:$I$874,B136)</f>
        <v>0</v>
      </c>
      <c r="G136" s="30">
        <f>COUNTIFS('AT. MEDICAS 2024'!$A$9:$A$874,"05/06/2025",'AT. MEDICAS 2024'!$I$9:$I$874,B136)</f>
        <v>0</v>
      </c>
      <c r="H136" s="30">
        <f>COUNTIFS('AT. MEDICAS 2024'!$A$9:$A$874,"06/06/2025",'AT. MEDICAS 2024'!$I$9:$I$874,B136)</f>
        <v>0</v>
      </c>
      <c r="I136" s="30">
        <f>COUNTIFS('AT. MEDICAS 2024'!$A$9:$A$874,"07/06/2025",'AT. MEDICAS 2024'!$I$9:$I$874,B136)</f>
        <v>0</v>
      </c>
      <c r="J136" s="30">
        <f>COUNTIFS('AT. MEDICAS 2024'!$A$9:$A$874,"08/06/2025",'AT. MEDICAS 2024'!$I$9:$I$874,B136)</f>
        <v>0</v>
      </c>
      <c r="K136" s="30">
        <f>COUNTIFS('AT. MEDICAS 2024'!$A$9:$A$874,"09/06/2025",'AT. MEDICAS 2024'!$I$9:$I$874,B136)</f>
        <v>0</v>
      </c>
      <c r="L136" s="30">
        <f>COUNTIFS('AT. MEDICAS 2024'!$A$9:$A$874,"10/06/2025",'AT. MEDICAS 2024'!$I$9:$I$874,B136)</f>
        <v>0</v>
      </c>
      <c r="M136" s="30">
        <f>COUNTIFS('AT. MEDICAS 2024'!$A$9:$A$874,"11/06/2025",'AT. MEDICAS 2024'!$I$9:$I$874,B136)</f>
        <v>0</v>
      </c>
      <c r="N136" s="30">
        <f>COUNTIFS('AT. MEDICAS 2024'!$A$9:$A$874,"12/06/2025",'AT. MEDICAS 2024'!$I$9:$I$874,B136)</f>
        <v>0</v>
      </c>
      <c r="O136" s="30">
        <f>COUNTIFS('AT. MEDICAS 2024'!$A$9:$A$874,"13/06/2025",'AT. MEDICAS 2024'!$I$9:$I$874,B136)</f>
        <v>0</v>
      </c>
      <c r="P136" s="30">
        <f>COUNTIFS('AT. MEDICAS 2024'!$A$9:$A$874,"14/06/2025",'AT. MEDICAS 2024'!$I$9:$I$874,B136)</f>
        <v>0</v>
      </c>
      <c r="Q136" s="30">
        <f>COUNTIFS('AT. MEDICAS 2024'!$A$9:$A$874,"15/06/2025",'AT. MEDICAS 2024'!$I$9:$I$874,B136)</f>
        <v>0</v>
      </c>
      <c r="R136" s="30">
        <f>COUNTIFS('AT. MEDICAS 2024'!$A$9:$A$874,"16/06/2025",'AT. MEDICAS 2024'!$I$9:$I$874,B136)</f>
        <v>0</v>
      </c>
      <c r="S136" s="30">
        <f>COUNTIFS('AT. MEDICAS 2024'!$A$9:$A$874,"17/06/2025",'AT. MEDICAS 2024'!$I$9:$I$874,B136)</f>
        <v>0</v>
      </c>
      <c r="T136" s="30">
        <f>COUNTIFS('AT. MEDICAS 2024'!$A$9:$A$874,"18/06/2025",'AT. MEDICAS 2024'!$I$9:$I$874,B136)</f>
        <v>0</v>
      </c>
      <c r="U136" s="30">
        <f>COUNTIFS('AT. MEDICAS 2024'!$A$9:$A$874,"19/06/2025",'AT. MEDICAS 2024'!$I$9:$I$874,B136)</f>
        <v>0</v>
      </c>
      <c r="V136" s="30">
        <f>COUNTIFS('AT. MEDICAS 2024'!$A$9:$A$874,"20/06/2025",'AT. MEDICAS 2024'!$I$9:$I$874,B136)</f>
        <v>0</v>
      </c>
      <c r="W136" s="30">
        <f>COUNTIFS('AT. MEDICAS 2024'!$A$9:$A$874,"21/06/2025",'AT. MEDICAS 2024'!$I$9:$I$874,B136)</f>
        <v>0</v>
      </c>
      <c r="X136" s="30">
        <f>COUNTIFS('AT. MEDICAS 2024'!$A$9:$A$874,"22/06/2025",'AT. MEDICAS 2024'!$I$9:$I$874,B136)</f>
        <v>0</v>
      </c>
      <c r="Y136" s="30">
        <f>COUNTIFS('AT. MEDICAS 2024'!$A$9:$A$874,"23/06/2025",'AT. MEDICAS 2024'!$I$9:$I$874,B136)</f>
        <v>0</v>
      </c>
      <c r="Z136" s="30">
        <f>COUNTIFS('AT. MEDICAS 2024'!$A$9:$A$874,"24/06/2025",'AT. MEDICAS 2024'!$I$9:$I$874,B136)</f>
        <v>0</v>
      </c>
      <c r="AA136" s="30">
        <f>COUNTIFS('AT. MEDICAS 2024'!$A$9:$A$874,"25/06/2025",'AT. MEDICAS 2024'!$I$9:$I$874,B136)</f>
        <v>0</v>
      </c>
      <c r="AB136" s="30">
        <f>COUNTIFS('AT. MEDICAS 2024'!$A$9:$A$874,"26/06/2025",'AT. MEDICAS 2024'!$I$9:$I$874,B136)</f>
        <v>0</v>
      </c>
      <c r="AC136" s="30">
        <f>COUNTIFS('AT. MEDICAS 2024'!$A$9:$A$874,"27/06/2025",'AT. MEDICAS 2024'!$I$9:$I$874,B136)</f>
        <v>0</v>
      </c>
      <c r="AD136" s="30">
        <f>COUNTIFS('AT. MEDICAS 2024'!$A$9:$A$874,"28/06/2025",'AT. MEDICAS 2024'!$I$9:$I$874,B136)</f>
        <v>0</v>
      </c>
      <c r="AE136" s="30">
        <f>COUNTIFS('AT. MEDICAS 2024'!$A$9:$A$874,"29/06/2025",'AT. MEDICAS 2024'!$I$9:$I$874,B136)</f>
        <v>0</v>
      </c>
      <c r="AF136" s="30">
        <f>COUNTIFS('AT. MEDICAS 2024'!$A$9:$A$874,"30/06/2025",'AT. MEDICAS 2024'!$I$9:$I$874,B136)</f>
        <v>0</v>
      </c>
      <c r="AG136" s="30"/>
      <c r="AH136" s="55">
        <f t="shared" ref="AH136:AH155" si="21">SUM(C136:AG136)</f>
        <v>0</v>
      </c>
    </row>
    <row r="137" spans="1:34" ht="13.8" thickBot="1" x14ac:dyDescent="0.3">
      <c r="A137" s="41">
        <v>2</v>
      </c>
      <c r="B137" s="54" t="s">
        <v>186</v>
      </c>
      <c r="C137" s="30">
        <f>COUNTIFS('AT. MEDICAS 2024'!$A$9:$A$874,"01/06/2025",'AT. MEDICAS 2024'!$I$9:$I$874,B137)</f>
        <v>0</v>
      </c>
      <c r="D137" s="30">
        <f>COUNTIFS('AT. MEDICAS 2024'!$A$9:$A$874,"02/06/2025",'AT. MEDICAS 2024'!$I$9:$I$874,B137)</f>
        <v>0</v>
      </c>
      <c r="E137" s="30">
        <f>COUNTIFS('AT. MEDICAS 2024'!$A$9:$A$874,"03/06/2025",'AT. MEDICAS 2024'!$I$9:$I$874,B137)</f>
        <v>0</v>
      </c>
      <c r="F137" s="30">
        <f>COUNTIFS('AT. MEDICAS 2024'!$A$9:$A$874,"04/06/2025",'AT. MEDICAS 2024'!$I$9:$I$874,B137)</f>
        <v>0</v>
      </c>
      <c r="G137" s="30">
        <f>COUNTIFS('AT. MEDICAS 2024'!$A$9:$A$874,"05/06/2025",'AT. MEDICAS 2024'!$I$9:$I$874,B137)</f>
        <v>0</v>
      </c>
      <c r="H137" s="30">
        <f>COUNTIFS('AT. MEDICAS 2024'!$A$9:$A$874,"06/06/2025",'AT. MEDICAS 2024'!$I$9:$I$874,B137)</f>
        <v>0</v>
      </c>
      <c r="I137" s="30">
        <f>COUNTIFS('AT. MEDICAS 2024'!$A$9:$A$874,"07/06/2025",'AT. MEDICAS 2024'!$I$9:$I$874,B137)</f>
        <v>0</v>
      </c>
      <c r="J137" s="30">
        <f>COUNTIFS('AT. MEDICAS 2024'!$A$9:$A$874,"08/06/2025",'AT. MEDICAS 2024'!$I$9:$I$874,B137)</f>
        <v>0</v>
      </c>
      <c r="K137" s="30">
        <f>COUNTIFS('AT. MEDICAS 2024'!$A$9:$A$874,"09/06/2025",'AT. MEDICAS 2024'!$I$9:$I$874,B137)</f>
        <v>0</v>
      </c>
      <c r="L137" s="30">
        <f>COUNTIFS('AT. MEDICAS 2024'!$A$9:$A$874,"10/06/2025",'AT. MEDICAS 2024'!$I$9:$I$874,B137)</f>
        <v>0</v>
      </c>
      <c r="M137" s="30">
        <f>COUNTIFS('AT. MEDICAS 2024'!$A$9:$A$874,"11/06/2025",'AT. MEDICAS 2024'!$I$9:$I$874,B137)</f>
        <v>0</v>
      </c>
      <c r="N137" s="30">
        <f>COUNTIFS('AT. MEDICAS 2024'!$A$9:$A$874,"12/06/2025",'AT. MEDICAS 2024'!$I$9:$I$874,B137)</f>
        <v>0</v>
      </c>
      <c r="O137" s="30">
        <f>COUNTIFS('AT. MEDICAS 2024'!$A$9:$A$874,"13/06/2025",'AT. MEDICAS 2024'!$I$9:$I$874,B137)</f>
        <v>0</v>
      </c>
      <c r="P137" s="30">
        <f>COUNTIFS('AT. MEDICAS 2024'!$A$9:$A$874,"14/06/2025",'AT. MEDICAS 2024'!$I$9:$I$874,B137)</f>
        <v>0</v>
      </c>
      <c r="Q137" s="30">
        <f>COUNTIFS('AT. MEDICAS 2024'!$A$9:$A$874,"15/06/2025",'AT. MEDICAS 2024'!$I$9:$I$874,B137)</f>
        <v>0</v>
      </c>
      <c r="R137" s="30">
        <f>COUNTIFS('AT. MEDICAS 2024'!$A$9:$A$874,"16/06/2025",'AT. MEDICAS 2024'!$I$9:$I$874,B137)</f>
        <v>0</v>
      </c>
      <c r="S137" s="30">
        <f>COUNTIFS('AT. MEDICAS 2024'!$A$9:$A$874,"17/06/2025",'AT. MEDICAS 2024'!$I$9:$I$874,B137)</f>
        <v>0</v>
      </c>
      <c r="T137" s="30">
        <f>COUNTIFS('AT. MEDICAS 2024'!$A$9:$A$874,"18/06/2025",'AT. MEDICAS 2024'!$I$9:$I$874,B137)</f>
        <v>0</v>
      </c>
      <c r="U137" s="30">
        <f>COUNTIFS('AT. MEDICAS 2024'!$A$9:$A$874,"19/06/2025",'AT. MEDICAS 2024'!$I$9:$I$874,B137)</f>
        <v>0</v>
      </c>
      <c r="V137" s="30">
        <f>COUNTIFS('AT. MEDICAS 2024'!$A$9:$A$874,"20/06/2025",'AT. MEDICAS 2024'!$I$9:$I$874,B137)</f>
        <v>0</v>
      </c>
      <c r="W137" s="30">
        <f>COUNTIFS('AT. MEDICAS 2024'!$A$9:$A$874,"21/06/2025",'AT. MEDICAS 2024'!$I$9:$I$874,B137)</f>
        <v>0</v>
      </c>
      <c r="X137" s="30">
        <f>COUNTIFS('AT. MEDICAS 2024'!$A$9:$A$874,"22/06/2025",'AT. MEDICAS 2024'!$I$9:$I$874,B137)</f>
        <v>0</v>
      </c>
      <c r="Y137" s="30">
        <f>COUNTIFS('AT. MEDICAS 2024'!$A$9:$A$874,"23/06/2025",'AT. MEDICAS 2024'!$I$9:$I$874,B137)</f>
        <v>0</v>
      </c>
      <c r="Z137" s="30">
        <f>COUNTIFS('AT. MEDICAS 2024'!$A$9:$A$874,"24/06/2025",'AT. MEDICAS 2024'!$I$9:$I$874,B137)</f>
        <v>0</v>
      </c>
      <c r="AA137" s="30">
        <f>COUNTIFS('AT. MEDICAS 2024'!$A$9:$A$874,"25/06/2025",'AT. MEDICAS 2024'!$I$9:$I$874,B137)</f>
        <v>0</v>
      </c>
      <c r="AB137" s="30">
        <f>COUNTIFS('AT. MEDICAS 2024'!$A$9:$A$874,"26/06/2025",'AT. MEDICAS 2024'!$I$9:$I$874,B137)</f>
        <v>0</v>
      </c>
      <c r="AC137" s="30">
        <f>COUNTIFS('AT. MEDICAS 2024'!$A$9:$A$874,"27/06/2025",'AT. MEDICAS 2024'!$I$9:$I$874,B137)</f>
        <v>0</v>
      </c>
      <c r="AD137" s="30">
        <f>COUNTIFS('AT. MEDICAS 2024'!$A$9:$A$874,"28/06/2025",'AT. MEDICAS 2024'!$I$9:$I$874,B137)</f>
        <v>0</v>
      </c>
      <c r="AE137" s="30">
        <f>COUNTIFS('AT. MEDICAS 2024'!$A$9:$A$874,"29/06/2025",'AT. MEDICAS 2024'!$I$9:$I$874,B137)</f>
        <v>0</v>
      </c>
      <c r="AF137" s="30">
        <f>COUNTIFS('AT. MEDICAS 2024'!$A$9:$A$874,"30/06/2025",'AT. MEDICAS 2024'!$I$9:$I$874,B137)</f>
        <v>0</v>
      </c>
      <c r="AG137" s="30"/>
      <c r="AH137" s="55">
        <f t="shared" si="21"/>
        <v>0</v>
      </c>
    </row>
    <row r="138" spans="1:34" ht="13.8" thickBot="1" x14ac:dyDescent="0.3">
      <c r="A138" s="41">
        <v>3</v>
      </c>
      <c r="B138" s="54" t="s">
        <v>94</v>
      </c>
      <c r="C138" s="30">
        <f>COUNTIFS('AT. MEDICAS 2024'!$A$9:$A$874,"01/06/2025",'AT. MEDICAS 2024'!$I$9:$I$874,B138)</f>
        <v>0</v>
      </c>
      <c r="D138" s="30">
        <f>COUNTIFS('AT. MEDICAS 2024'!$A$9:$A$874,"02/06/2025",'AT. MEDICAS 2024'!$I$9:$I$874,B138)</f>
        <v>0</v>
      </c>
      <c r="E138" s="30">
        <f>COUNTIFS('AT. MEDICAS 2024'!$A$9:$A$874,"03/06/2025",'AT. MEDICAS 2024'!$I$9:$I$874,B138)</f>
        <v>0</v>
      </c>
      <c r="F138" s="30">
        <f>COUNTIFS('AT. MEDICAS 2024'!$A$9:$A$874,"04/06/2025",'AT. MEDICAS 2024'!$I$9:$I$874,B138)</f>
        <v>0</v>
      </c>
      <c r="G138" s="30">
        <f>COUNTIFS('AT. MEDICAS 2024'!$A$9:$A$874,"05/06/2025",'AT. MEDICAS 2024'!$I$9:$I$874,B138)</f>
        <v>0</v>
      </c>
      <c r="H138" s="30">
        <f>COUNTIFS('AT. MEDICAS 2024'!$A$9:$A$874,"06/06/2025",'AT. MEDICAS 2024'!$I$9:$I$874,B138)</f>
        <v>0</v>
      </c>
      <c r="I138" s="30">
        <f>COUNTIFS('AT. MEDICAS 2024'!$A$9:$A$874,"07/06/2025",'AT. MEDICAS 2024'!$I$9:$I$874,B138)</f>
        <v>0</v>
      </c>
      <c r="J138" s="30">
        <f>COUNTIFS('AT. MEDICAS 2024'!$A$9:$A$874,"08/06/2025",'AT. MEDICAS 2024'!$I$9:$I$874,B138)</f>
        <v>0</v>
      </c>
      <c r="K138" s="30">
        <f>COUNTIFS('AT. MEDICAS 2024'!$A$9:$A$874,"09/06/2025",'AT. MEDICAS 2024'!$I$9:$I$874,B138)</f>
        <v>0</v>
      </c>
      <c r="L138" s="30">
        <f>COUNTIFS('AT. MEDICAS 2024'!$A$9:$A$874,"10/06/2025",'AT. MEDICAS 2024'!$I$9:$I$874,B138)</f>
        <v>0</v>
      </c>
      <c r="M138" s="30">
        <f>COUNTIFS('AT. MEDICAS 2024'!$A$9:$A$874,"11/06/2025",'AT. MEDICAS 2024'!$I$9:$I$874,B138)</f>
        <v>0</v>
      </c>
      <c r="N138" s="30">
        <f>COUNTIFS('AT. MEDICAS 2024'!$A$9:$A$874,"12/06/2025",'AT. MEDICAS 2024'!$I$9:$I$874,B138)</f>
        <v>0</v>
      </c>
      <c r="O138" s="30">
        <f>COUNTIFS('AT. MEDICAS 2024'!$A$9:$A$874,"13/06/2025",'AT. MEDICAS 2024'!$I$9:$I$874,B138)</f>
        <v>0</v>
      </c>
      <c r="P138" s="30">
        <f>COUNTIFS('AT. MEDICAS 2024'!$A$9:$A$874,"14/06/2025",'AT. MEDICAS 2024'!$I$9:$I$874,B138)</f>
        <v>0</v>
      </c>
      <c r="Q138" s="30">
        <f>COUNTIFS('AT. MEDICAS 2024'!$A$9:$A$874,"15/06/2025",'AT. MEDICAS 2024'!$I$9:$I$874,B138)</f>
        <v>0</v>
      </c>
      <c r="R138" s="30">
        <f>COUNTIFS('AT. MEDICAS 2024'!$A$9:$A$874,"16/06/2025",'AT. MEDICAS 2024'!$I$9:$I$874,B138)</f>
        <v>0</v>
      </c>
      <c r="S138" s="30">
        <f>COUNTIFS('AT. MEDICAS 2024'!$A$9:$A$874,"17/06/2025",'AT. MEDICAS 2024'!$I$9:$I$874,B138)</f>
        <v>0</v>
      </c>
      <c r="T138" s="30">
        <f>COUNTIFS('AT. MEDICAS 2024'!$A$9:$A$874,"18/06/2025",'AT. MEDICAS 2024'!$I$9:$I$874,B138)</f>
        <v>0</v>
      </c>
      <c r="U138" s="30">
        <f>COUNTIFS('AT. MEDICAS 2024'!$A$9:$A$874,"19/06/2025",'AT. MEDICAS 2024'!$I$9:$I$874,B138)</f>
        <v>0</v>
      </c>
      <c r="V138" s="30">
        <f>COUNTIFS('AT. MEDICAS 2024'!$A$9:$A$874,"20/06/2025",'AT. MEDICAS 2024'!$I$9:$I$874,B138)</f>
        <v>0</v>
      </c>
      <c r="W138" s="30">
        <f>COUNTIFS('AT. MEDICAS 2024'!$A$9:$A$874,"21/06/2025",'AT. MEDICAS 2024'!$I$9:$I$874,B138)</f>
        <v>0</v>
      </c>
      <c r="X138" s="30">
        <f>COUNTIFS('AT. MEDICAS 2024'!$A$9:$A$874,"22/06/2025",'AT. MEDICAS 2024'!$I$9:$I$874,B138)</f>
        <v>0</v>
      </c>
      <c r="Y138" s="30">
        <f>COUNTIFS('AT. MEDICAS 2024'!$A$9:$A$874,"23/06/2025",'AT. MEDICAS 2024'!$I$9:$I$874,B138)</f>
        <v>0</v>
      </c>
      <c r="Z138" s="30">
        <f>COUNTIFS('AT. MEDICAS 2024'!$A$9:$A$874,"24/06/2025",'AT. MEDICAS 2024'!$I$9:$I$874,B138)</f>
        <v>0</v>
      </c>
      <c r="AA138" s="30">
        <f>COUNTIFS('AT. MEDICAS 2024'!$A$9:$A$874,"25/06/2025",'AT. MEDICAS 2024'!$I$9:$I$874,B138)</f>
        <v>0</v>
      </c>
      <c r="AB138" s="30">
        <f>COUNTIFS('AT. MEDICAS 2024'!$A$9:$A$874,"26/06/2025",'AT. MEDICAS 2024'!$I$9:$I$874,B138)</f>
        <v>0</v>
      </c>
      <c r="AC138" s="30">
        <f>COUNTIFS('AT. MEDICAS 2024'!$A$9:$A$874,"27/06/2025",'AT. MEDICAS 2024'!$I$9:$I$874,B138)</f>
        <v>0</v>
      </c>
      <c r="AD138" s="30">
        <f>COUNTIFS('AT. MEDICAS 2024'!$A$9:$A$874,"28/06/2025",'AT. MEDICAS 2024'!$I$9:$I$874,B138)</f>
        <v>0</v>
      </c>
      <c r="AE138" s="30">
        <f>COUNTIFS('AT. MEDICAS 2024'!$A$9:$A$874,"29/06/2025",'AT. MEDICAS 2024'!$I$9:$I$874,B138)</f>
        <v>0</v>
      </c>
      <c r="AF138" s="30">
        <f>COUNTIFS('AT. MEDICAS 2024'!$A$9:$A$874,"30/06/2025",'AT. MEDICAS 2024'!$I$9:$I$874,B138)</f>
        <v>0</v>
      </c>
      <c r="AG138" s="30"/>
      <c r="AH138" s="55">
        <f t="shared" si="21"/>
        <v>0</v>
      </c>
    </row>
    <row r="139" spans="1:34" ht="13.8" thickBot="1" x14ac:dyDescent="0.3">
      <c r="A139" s="41">
        <v>4</v>
      </c>
      <c r="B139" s="54" t="s">
        <v>50</v>
      </c>
      <c r="C139" s="30">
        <f>COUNTIFS('AT. MEDICAS 2024'!$A$9:$A$874,"01/06/2025",'AT. MEDICAS 2024'!$I$9:$I$874,B139)</f>
        <v>0</v>
      </c>
      <c r="D139" s="30">
        <f>COUNTIFS('AT. MEDICAS 2024'!$A$9:$A$874,"02/06/2025",'AT. MEDICAS 2024'!$I$9:$I$874,B139)</f>
        <v>0</v>
      </c>
      <c r="E139" s="30">
        <f>COUNTIFS('AT. MEDICAS 2024'!$A$9:$A$874,"03/06/2025",'AT. MEDICAS 2024'!$I$9:$I$874,B139)</f>
        <v>0</v>
      </c>
      <c r="F139" s="30">
        <f>COUNTIFS('AT. MEDICAS 2024'!$A$9:$A$874,"04/06/2025",'AT. MEDICAS 2024'!$I$9:$I$874,B139)</f>
        <v>0</v>
      </c>
      <c r="G139" s="30">
        <f>COUNTIFS('AT. MEDICAS 2024'!$A$9:$A$874,"05/06/2025",'AT. MEDICAS 2024'!$I$9:$I$874,B139)</f>
        <v>0</v>
      </c>
      <c r="H139" s="30">
        <f>COUNTIFS('AT. MEDICAS 2024'!$A$9:$A$874,"06/06/2025",'AT. MEDICAS 2024'!$I$9:$I$874,B139)</f>
        <v>0</v>
      </c>
      <c r="I139" s="30">
        <f>COUNTIFS('AT. MEDICAS 2024'!$A$9:$A$874,"07/06/2025",'AT. MEDICAS 2024'!$I$9:$I$874,B139)</f>
        <v>0</v>
      </c>
      <c r="J139" s="30">
        <f>COUNTIFS('AT. MEDICAS 2024'!$A$9:$A$874,"08/06/2025",'AT. MEDICAS 2024'!$I$9:$I$874,B139)</f>
        <v>0</v>
      </c>
      <c r="K139" s="30">
        <f>COUNTIFS('AT. MEDICAS 2024'!$A$9:$A$874,"09/06/2025",'AT. MEDICAS 2024'!$I$9:$I$874,B139)</f>
        <v>0</v>
      </c>
      <c r="L139" s="30">
        <f>COUNTIFS('AT. MEDICAS 2024'!$A$9:$A$874,"10/06/2025",'AT. MEDICAS 2024'!$I$9:$I$874,B139)</f>
        <v>0</v>
      </c>
      <c r="M139" s="30">
        <f>COUNTIFS('AT. MEDICAS 2024'!$A$9:$A$874,"11/06/2025",'AT. MEDICAS 2024'!$I$9:$I$874,B139)</f>
        <v>0</v>
      </c>
      <c r="N139" s="30">
        <f>COUNTIFS('AT. MEDICAS 2024'!$A$9:$A$874,"12/06/2025",'AT. MEDICAS 2024'!$I$9:$I$874,B139)</f>
        <v>0</v>
      </c>
      <c r="O139" s="30">
        <f>COUNTIFS('AT. MEDICAS 2024'!$A$9:$A$874,"13/06/2025",'AT. MEDICAS 2024'!$I$9:$I$874,B139)</f>
        <v>0</v>
      </c>
      <c r="P139" s="30">
        <f>COUNTIFS('AT. MEDICAS 2024'!$A$9:$A$874,"14/06/2025",'AT. MEDICAS 2024'!$I$9:$I$874,B139)</f>
        <v>0</v>
      </c>
      <c r="Q139" s="30">
        <f>COUNTIFS('AT. MEDICAS 2024'!$A$9:$A$874,"15/06/2025",'AT. MEDICAS 2024'!$I$9:$I$874,B139)</f>
        <v>0</v>
      </c>
      <c r="R139" s="30">
        <f>COUNTIFS('AT. MEDICAS 2024'!$A$9:$A$874,"16/06/2025",'AT. MEDICAS 2024'!$I$9:$I$874,B139)</f>
        <v>0</v>
      </c>
      <c r="S139" s="30">
        <f>COUNTIFS('AT. MEDICAS 2024'!$A$9:$A$874,"17/06/2025",'AT. MEDICAS 2024'!$I$9:$I$874,B139)</f>
        <v>0</v>
      </c>
      <c r="T139" s="30">
        <f>COUNTIFS('AT. MEDICAS 2024'!$A$9:$A$874,"18/06/2025",'AT. MEDICAS 2024'!$I$9:$I$874,B139)</f>
        <v>0</v>
      </c>
      <c r="U139" s="30">
        <f>COUNTIFS('AT. MEDICAS 2024'!$A$9:$A$874,"19/06/2025",'AT. MEDICAS 2024'!$I$9:$I$874,B139)</f>
        <v>0</v>
      </c>
      <c r="V139" s="30">
        <f>COUNTIFS('AT. MEDICAS 2024'!$A$9:$A$874,"20/06/2025",'AT. MEDICAS 2024'!$I$9:$I$874,B139)</f>
        <v>0</v>
      </c>
      <c r="W139" s="30">
        <f>COUNTIFS('AT. MEDICAS 2024'!$A$9:$A$874,"21/06/2025",'AT. MEDICAS 2024'!$I$9:$I$874,B139)</f>
        <v>0</v>
      </c>
      <c r="X139" s="30">
        <f>COUNTIFS('AT. MEDICAS 2024'!$A$9:$A$874,"22/06/2025",'AT. MEDICAS 2024'!$I$9:$I$874,B139)</f>
        <v>0</v>
      </c>
      <c r="Y139" s="30">
        <f>COUNTIFS('AT. MEDICAS 2024'!$A$9:$A$874,"23/06/2025",'AT. MEDICAS 2024'!$I$9:$I$874,B139)</f>
        <v>0</v>
      </c>
      <c r="Z139" s="30">
        <f>COUNTIFS('AT. MEDICAS 2024'!$A$9:$A$874,"24/06/2025",'AT. MEDICAS 2024'!$I$9:$I$874,B139)</f>
        <v>0</v>
      </c>
      <c r="AA139" s="30">
        <f>COUNTIFS('AT. MEDICAS 2024'!$A$9:$A$874,"25/06/2025",'AT. MEDICAS 2024'!$I$9:$I$874,B139)</f>
        <v>0</v>
      </c>
      <c r="AB139" s="30">
        <f>COUNTIFS('AT. MEDICAS 2024'!$A$9:$A$874,"26/06/2025",'AT. MEDICAS 2024'!$I$9:$I$874,B139)</f>
        <v>0</v>
      </c>
      <c r="AC139" s="30">
        <f>COUNTIFS('AT. MEDICAS 2024'!$A$9:$A$874,"27/06/2025",'AT. MEDICAS 2024'!$I$9:$I$874,B139)</f>
        <v>0</v>
      </c>
      <c r="AD139" s="30">
        <f>COUNTIFS('AT. MEDICAS 2024'!$A$9:$A$874,"28/06/2025",'AT. MEDICAS 2024'!$I$9:$I$874,B139)</f>
        <v>0</v>
      </c>
      <c r="AE139" s="30">
        <f>COUNTIFS('AT. MEDICAS 2024'!$A$9:$A$874,"29/06/2025",'AT. MEDICAS 2024'!$I$9:$I$874,B139)</f>
        <v>0</v>
      </c>
      <c r="AF139" s="30">
        <f>COUNTIFS('AT. MEDICAS 2024'!$A$9:$A$874,"30/06/2025",'AT. MEDICAS 2024'!$I$9:$I$874,B139)</f>
        <v>0</v>
      </c>
      <c r="AG139" s="30"/>
      <c r="AH139" s="55">
        <f t="shared" si="21"/>
        <v>0</v>
      </c>
    </row>
    <row r="140" spans="1:34" ht="13.8" thickBot="1" x14ac:dyDescent="0.3">
      <c r="A140" s="41">
        <v>5</v>
      </c>
      <c r="B140" s="54" t="s">
        <v>187</v>
      </c>
      <c r="C140" s="30">
        <f>COUNTIFS('AT. MEDICAS 2024'!$A$9:$A$874,"01/06/2025",'AT. MEDICAS 2024'!$I$9:$I$874,B140)</f>
        <v>0</v>
      </c>
      <c r="D140" s="30">
        <f>COUNTIFS('AT. MEDICAS 2024'!$A$9:$A$874,"02/06/2025",'AT. MEDICAS 2024'!$I$9:$I$874,B140)</f>
        <v>0</v>
      </c>
      <c r="E140" s="30">
        <f>COUNTIFS('AT. MEDICAS 2024'!$A$9:$A$874,"03/06/2025",'AT. MEDICAS 2024'!$I$9:$I$874,B140)</f>
        <v>0</v>
      </c>
      <c r="F140" s="30">
        <f>COUNTIFS('AT. MEDICAS 2024'!$A$9:$A$874,"04/06/2025",'AT. MEDICAS 2024'!$I$9:$I$874,B140)</f>
        <v>0</v>
      </c>
      <c r="G140" s="30">
        <f>COUNTIFS('AT. MEDICAS 2024'!$A$9:$A$874,"05/06/2025",'AT. MEDICAS 2024'!$I$9:$I$874,B140)</f>
        <v>0</v>
      </c>
      <c r="H140" s="30">
        <f>COUNTIFS('AT. MEDICAS 2024'!$A$9:$A$874,"06/06/2025",'AT. MEDICAS 2024'!$I$9:$I$874,B140)</f>
        <v>0</v>
      </c>
      <c r="I140" s="30">
        <f>COUNTIFS('AT. MEDICAS 2024'!$A$9:$A$874,"07/06/2025",'AT. MEDICAS 2024'!$I$9:$I$874,B140)</f>
        <v>0</v>
      </c>
      <c r="J140" s="30">
        <f>COUNTIFS('AT. MEDICAS 2024'!$A$9:$A$874,"08/06/2025",'AT. MEDICAS 2024'!$I$9:$I$874,B140)</f>
        <v>0</v>
      </c>
      <c r="K140" s="30">
        <f>COUNTIFS('AT. MEDICAS 2024'!$A$9:$A$874,"09/06/2025",'AT. MEDICAS 2024'!$I$9:$I$874,B140)</f>
        <v>0</v>
      </c>
      <c r="L140" s="30">
        <f>COUNTIFS('AT. MEDICAS 2024'!$A$9:$A$874,"10/06/2025",'AT. MEDICAS 2024'!$I$9:$I$874,B140)</f>
        <v>0</v>
      </c>
      <c r="M140" s="30">
        <f>COUNTIFS('AT. MEDICAS 2024'!$A$9:$A$874,"11/06/2025",'AT. MEDICAS 2024'!$I$9:$I$874,B140)</f>
        <v>0</v>
      </c>
      <c r="N140" s="30">
        <f>COUNTIFS('AT. MEDICAS 2024'!$A$9:$A$874,"12/06/2025",'AT. MEDICAS 2024'!$I$9:$I$874,B140)</f>
        <v>0</v>
      </c>
      <c r="O140" s="30">
        <f>COUNTIFS('AT. MEDICAS 2024'!$A$9:$A$874,"13/06/2025",'AT. MEDICAS 2024'!$I$9:$I$874,B140)</f>
        <v>0</v>
      </c>
      <c r="P140" s="30">
        <f>COUNTIFS('AT. MEDICAS 2024'!$A$9:$A$874,"14/06/2025",'AT. MEDICAS 2024'!$I$9:$I$874,B140)</f>
        <v>0</v>
      </c>
      <c r="Q140" s="30">
        <f>COUNTIFS('AT. MEDICAS 2024'!$A$9:$A$874,"15/06/2025",'AT. MEDICAS 2024'!$I$9:$I$874,B140)</f>
        <v>0</v>
      </c>
      <c r="R140" s="30">
        <f>COUNTIFS('AT. MEDICAS 2024'!$A$9:$A$874,"16/06/2025",'AT. MEDICAS 2024'!$I$9:$I$874,B140)</f>
        <v>0</v>
      </c>
      <c r="S140" s="30">
        <f>COUNTIFS('AT. MEDICAS 2024'!$A$9:$A$874,"17/06/2025",'AT. MEDICAS 2024'!$I$9:$I$874,B140)</f>
        <v>0</v>
      </c>
      <c r="T140" s="30">
        <f>COUNTIFS('AT. MEDICAS 2024'!$A$9:$A$874,"18/06/2025",'AT. MEDICAS 2024'!$I$9:$I$874,B140)</f>
        <v>0</v>
      </c>
      <c r="U140" s="30">
        <f>COUNTIFS('AT. MEDICAS 2024'!$A$9:$A$874,"19/06/2025",'AT. MEDICAS 2024'!$I$9:$I$874,B140)</f>
        <v>0</v>
      </c>
      <c r="V140" s="30">
        <f>COUNTIFS('AT. MEDICAS 2024'!$A$9:$A$874,"20/06/2025",'AT. MEDICAS 2024'!$I$9:$I$874,B140)</f>
        <v>0</v>
      </c>
      <c r="W140" s="30">
        <f>COUNTIFS('AT. MEDICAS 2024'!$A$9:$A$874,"21/06/2025",'AT. MEDICAS 2024'!$I$9:$I$874,B140)</f>
        <v>0</v>
      </c>
      <c r="X140" s="30">
        <f>COUNTIFS('AT. MEDICAS 2024'!$A$9:$A$874,"22/06/2025",'AT. MEDICAS 2024'!$I$9:$I$874,B140)</f>
        <v>0</v>
      </c>
      <c r="Y140" s="30">
        <f>COUNTIFS('AT. MEDICAS 2024'!$A$9:$A$874,"23/06/2025",'AT. MEDICAS 2024'!$I$9:$I$874,B140)</f>
        <v>0</v>
      </c>
      <c r="Z140" s="30">
        <f>COUNTIFS('AT. MEDICAS 2024'!$A$9:$A$874,"24/06/2025",'AT. MEDICAS 2024'!$I$9:$I$874,B140)</f>
        <v>0</v>
      </c>
      <c r="AA140" s="30">
        <f>COUNTIFS('AT. MEDICAS 2024'!$A$9:$A$874,"25/06/2025",'AT. MEDICAS 2024'!$I$9:$I$874,B140)</f>
        <v>0</v>
      </c>
      <c r="AB140" s="30">
        <f>COUNTIFS('AT. MEDICAS 2024'!$A$9:$A$874,"26/06/2025",'AT. MEDICAS 2024'!$I$9:$I$874,B140)</f>
        <v>0</v>
      </c>
      <c r="AC140" s="30">
        <f>COUNTIFS('AT. MEDICAS 2024'!$A$9:$A$874,"27/06/2025",'AT. MEDICAS 2024'!$I$9:$I$874,B140)</f>
        <v>0</v>
      </c>
      <c r="AD140" s="30">
        <f>COUNTIFS('AT. MEDICAS 2024'!$A$9:$A$874,"28/06/2025",'AT. MEDICAS 2024'!$I$9:$I$874,B140)</f>
        <v>0</v>
      </c>
      <c r="AE140" s="30">
        <f>COUNTIFS('AT. MEDICAS 2024'!$A$9:$A$874,"29/06/2025",'AT. MEDICAS 2024'!$I$9:$I$874,B140)</f>
        <v>0</v>
      </c>
      <c r="AF140" s="30">
        <f>COUNTIFS('AT. MEDICAS 2024'!$A$9:$A$874,"30/06/2025",'AT. MEDICAS 2024'!$I$9:$I$874,B140)</f>
        <v>0</v>
      </c>
      <c r="AG140" s="30"/>
      <c r="AH140" s="55">
        <f t="shared" si="21"/>
        <v>0</v>
      </c>
    </row>
    <row r="141" spans="1:34" ht="13.8" thickBot="1" x14ac:dyDescent="0.3">
      <c r="A141" s="41">
        <v>6</v>
      </c>
      <c r="B141" s="54" t="s">
        <v>46</v>
      </c>
      <c r="C141" s="30">
        <f>COUNTIFS('AT. MEDICAS 2024'!$A$9:$A$874,"01/06/2025",'AT. MEDICAS 2024'!$I$9:$I$874,B141)</f>
        <v>0</v>
      </c>
      <c r="D141" s="30">
        <f>COUNTIFS('AT. MEDICAS 2024'!$A$9:$A$874,"02/06/2025",'AT. MEDICAS 2024'!$I$9:$I$874,B141)</f>
        <v>0</v>
      </c>
      <c r="E141" s="30">
        <f>COUNTIFS('AT. MEDICAS 2024'!$A$9:$A$874,"03/06/2025",'AT. MEDICAS 2024'!$I$9:$I$874,B141)</f>
        <v>0</v>
      </c>
      <c r="F141" s="30">
        <f>COUNTIFS('AT. MEDICAS 2024'!$A$9:$A$874,"04/06/2025",'AT. MEDICAS 2024'!$I$9:$I$874,B141)</f>
        <v>0</v>
      </c>
      <c r="G141" s="30">
        <f>COUNTIFS('AT. MEDICAS 2024'!$A$9:$A$874,"05/06/2025",'AT. MEDICAS 2024'!$I$9:$I$874,B141)</f>
        <v>0</v>
      </c>
      <c r="H141" s="30">
        <f>COUNTIFS('AT. MEDICAS 2024'!$A$9:$A$874,"06/06/2025",'AT. MEDICAS 2024'!$I$9:$I$874,B141)</f>
        <v>0</v>
      </c>
      <c r="I141" s="30">
        <f>COUNTIFS('AT. MEDICAS 2024'!$A$9:$A$874,"07/06/2025",'AT. MEDICAS 2024'!$I$9:$I$874,B141)</f>
        <v>0</v>
      </c>
      <c r="J141" s="30">
        <f>COUNTIFS('AT. MEDICAS 2024'!$A$9:$A$874,"08/06/2025",'AT. MEDICAS 2024'!$I$9:$I$874,B141)</f>
        <v>0</v>
      </c>
      <c r="K141" s="30">
        <f>COUNTIFS('AT. MEDICAS 2024'!$A$9:$A$874,"09/06/2025",'AT. MEDICAS 2024'!$I$9:$I$874,B141)</f>
        <v>0</v>
      </c>
      <c r="L141" s="30">
        <f>COUNTIFS('AT. MEDICAS 2024'!$A$9:$A$874,"10/06/2025",'AT. MEDICAS 2024'!$I$9:$I$874,B141)</f>
        <v>0</v>
      </c>
      <c r="M141" s="30">
        <f>COUNTIFS('AT. MEDICAS 2024'!$A$9:$A$874,"11/06/2025",'AT. MEDICAS 2024'!$I$9:$I$874,B141)</f>
        <v>0</v>
      </c>
      <c r="N141" s="30">
        <f>COUNTIFS('AT. MEDICAS 2024'!$A$9:$A$874,"12/06/2025",'AT. MEDICAS 2024'!$I$9:$I$874,B141)</f>
        <v>0</v>
      </c>
      <c r="O141" s="30">
        <f>COUNTIFS('AT. MEDICAS 2024'!$A$9:$A$874,"13/06/2025",'AT. MEDICAS 2024'!$I$9:$I$874,B141)</f>
        <v>0</v>
      </c>
      <c r="P141" s="30">
        <f>COUNTIFS('AT. MEDICAS 2024'!$A$9:$A$874,"14/06/2025",'AT. MEDICAS 2024'!$I$9:$I$874,B141)</f>
        <v>0</v>
      </c>
      <c r="Q141" s="30">
        <f>COUNTIFS('AT. MEDICAS 2024'!$A$9:$A$874,"15/06/2025",'AT. MEDICAS 2024'!$I$9:$I$874,B141)</f>
        <v>0</v>
      </c>
      <c r="R141" s="30">
        <f>COUNTIFS('AT. MEDICAS 2024'!$A$9:$A$874,"16/06/2025",'AT. MEDICAS 2024'!$I$9:$I$874,B141)</f>
        <v>0</v>
      </c>
      <c r="S141" s="30">
        <f>COUNTIFS('AT. MEDICAS 2024'!$A$9:$A$874,"17/06/2025",'AT. MEDICAS 2024'!$I$9:$I$874,B141)</f>
        <v>0</v>
      </c>
      <c r="T141" s="30">
        <f>COUNTIFS('AT. MEDICAS 2024'!$A$9:$A$874,"18/06/2025",'AT. MEDICAS 2024'!$I$9:$I$874,B141)</f>
        <v>0</v>
      </c>
      <c r="U141" s="30">
        <f>COUNTIFS('AT. MEDICAS 2024'!$A$9:$A$874,"19/06/2025",'AT. MEDICAS 2024'!$I$9:$I$874,B141)</f>
        <v>0</v>
      </c>
      <c r="V141" s="30">
        <f>COUNTIFS('AT. MEDICAS 2024'!$A$9:$A$874,"20/06/2025",'AT. MEDICAS 2024'!$I$9:$I$874,B141)</f>
        <v>0</v>
      </c>
      <c r="W141" s="30">
        <f>COUNTIFS('AT. MEDICAS 2024'!$A$9:$A$874,"21/06/2025",'AT. MEDICAS 2024'!$I$9:$I$874,B141)</f>
        <v>0</v>
      </c>
      <c r="X141" s="30">
        <f>COUNTIFS('AT. MEDICAS 2024'!$A$9:$A$874,"22/06/2025",'AT. MEDICAS 2024'!$I$9:$I$874,B141)</f>
        <v>0</v>
      </c>
      <c r="Y141" s="30">
        <f>COUNTIFS('AT. MEDICAS 2024'!$A$9:$A$874,"23/06/2025",'AT. MEDICAS 2024'!$I$9:$I$874,B141)</f>
        <v>0</v>
      </c>
      <c r="Z141" s="30">
        <f>COUNTIFS('AT. MEDICAS 2024'!$A$9:$A$874,"24/06/2025",'AT. MEDICAS 2024'!$I$9:$I$874,B141)</f>
        <v>0</v>
      </c>
      <c r="AA141" s="30">
        <f>COUNTIFS('AT. MEDICAS 2024'!$A$9:$A$874,"25/06/2025",'AT. MEDICAS 2024'!$I$9:$I$874,B141)</f>
        <v>0</v>
      </c>
      <c r="AB141" s="30">
        <f>COUNTIFS('AT. MEDICAS 2024'!$A$9:$A$874,"26/06/2025",'AT. MEDICAS 2024'!$I$9:$I$874,B141)</f>
        <v>0</v>
      </c>
      <c r="AC141" s="30">
        <f>COUNTIFS('AT. MEDICAS 2024'!$A$9:$A$874,"27/06/2025",'AT. MEDICAS 2024'!$I$9:$I$874,B141)</f>
        <v>0</v>
      </c>
      <c r="AD141" s="30">
        <f>COUNTIFS('AT. MEDICAS 2024'!$A$9:$A$874,"28/06/2025",'AT. MEDICAS 2024'!$I$9:$I$874,B141)</f>
        <v>0</v>
      </c>
      <c r="AE141" s="30">
        <f>COUNTIFS('AT. MEDICAS 2024'!$A$9:$A$874,"29/06/2025",'AT. MEDICAS 2024'!$I$9:$I$874,B141)</f>
        <v>0</v>
      </c>
      <c r="AF141" s="30">
        <f>COUNTIFS('AT. MEDICAS 2024'!$A$9:$A$874,"30/06/2025",'AT. MEDICAS 2024'!$I$9:$I$874,B141)</f>
        <v>0</v>
      </c>
      <c r="AG141" s="30"/>
      <c r="AH141" s="55">
        <f t="shared" si="21"/>
        <v>0</v>
      </c>
    </row>
    <row r="142" spans="1:34" ht="13.8" thickBot="1" x14ac:dyDescent="0.3">
      <c r="A142" s="41">
        <v>7</v>
      </c>
      <c r="B142" s="54" t="s">
        <v>36</v>
      </c>
      <c r="C142" s="30">
        <f>COUNTIFS('AT. MEDICAS 2024'!$A$9:$A$874,"01/06/2025",'AT. MEDICAS 2024'!$I$9:$I$874,B142)</f>
        <v>0</v>
      </c>
      <c r="D142" s="30">
        <f>COUNTIFS('AT. MEDICAS 2024'!$A$9:$A$874,"02/06/2025",'AT. MEDICAS 2024'!$I$9:$I$874,B142)</f>
        <v>0</v>
      </c>
      <c r="E142" s="30">
        <f>COUNTIFS('AT. MEDICAS 2024'!$A$9:$A$874,"03/06/2025",'AT. MEDICAS 2024'!$I$9:$I$874,B142)</f>
        <v>0</v>
      </c>
      <c r="F142" s="30">
        <f>COUNTIFS('AT. MEDICAS 2024'!$A$9:$A$874,"04/06/2025",'AT. MEDICAS 2024'!$I$9:$I$874,B142)</f>
        <v>0</v>
      </c>
      <c r="G142" s="30">
        <f>COUNTIFS('AT. MEDICAS 2024'!$A$9:$A$874,"05/06/2025",'AT. MEDICAS 2024'!$I$9:$I$874,B142)</f>
        <v>0</v>
      </c>
      <c r="H142" s="30">
        <f>COUNTIFS('AT. MEDICAS 2024'!$A$9:$A$874,"06/06/2025",'AT. MEDICAS 2024'!$I$9:$I$874,B142)</f>
        <v>0</v>
      </c>
      <c r="I142" s="30">
        <f>COUNTIFS('AT. MEDICAS 2024'!$A$9:$A$874,"07/06/2025",'AT. MEDICAS 2024'!$I$9:$I$874,B142)</f>
        <v>0</v>
      </c>
      <c r="J142" s="30">
        <f>COUNTIFS('AT. MEDICAS 2024'!$A$9:$A$874,"08/06/2025",'AT. MEDICAS 2024'!$I$9:$I$874,B142)</f>
        <v>0</v>
      </c>
      <c r="K142" s="30">
        <f>COUNTIFS('AT. MEDICAS 2024'!$A$9:$A$874,"09/06/2025",'AT. MEDICAS 2024'!$I$9:$I$874,B142)</f>
        <v>0</v>
      </c>
      <c r="L142" s="30">
        <f>COUNTIFS('AT. MEDICAS 2024'!$A$9:$A$874,"10/06/2025",'AT. MEDICAS 2024'!$I$9:$I$874,B142)</f>
        <v>0</v>
      </c>
      <c r="M142" s="30">
        <f>COUNTIFS('AT. MEDICAS 2024'!$A$9:$A$874,"11/06/2025",'AT. MEDICAS 2024'!$I$9:$I$874,B142)</f>
        <v>0</v>
      </c>
      <c r="N142" s="30">
        <f>COUNTIFS('AT. MEDICAS 2024'!$A$9:$A$874,"12/06/2025",'AT. MEDICAS 2024'!$I$9:$I$874,B142)</f>
        <v>0</v>
      </c>
      <c r="O142" s="30">
        <f>COUNTIFS('AT. MEDICAS 2024'!$A$9:$A$874,"13/06/2025",'AT. MEDICAS 2024'!$I$9:$I$874,B142)</f>
        <v>0</v>
      </c>
      <c r="P142" s="30">
        <f>COUNTIFS('AT. MEDICAS 2024'!$A$9:$A$874,"14/06/2025",'AT. MEDICAS 2024'!$I$9:$I$874,B142)</f>
        <v>0</v>
      </c>
      <c r="Q142" s="30">
        <f>COUNTIFS('AT. MEDICAS 2024'!$A$9:$A$874,"15/06/2025",'AT. MEDICAS 2024'!$I$9:$I$874,B142)</f>
        <v>0</v>
      </c>
      <c r="R142" s="30">
        <f>COUNTIFS('AT. MEDICAS 2024'!$A$9:$A$874,"16/06/2025",'AT. MEDICAS 2024'!$I$9:$I$874,B142)</f>
        <v>0</v>
      </c>
      <c r="S142" s="30">
        <f>COUNTIFS('AT. MEDICAS 2024'!$A$9:$A$874,"17/06/2025",'AT. MEDICAS 2024'!$I$9:$I$874,B142)</f>
        <v>0</v>
      </c>
      <c r="T142" s="30">
        <f>COUNTIFS('AT. MEDICAS 2024'!$A$9:$A$874,"18/06/2025",'AT. MEDICAS 2024'!$I$9:$I$874,B142)</f>
        <v>0</v>
      </c>
      <c r="U142" s="30">
        <f>COUNTIFS('AT. MEDICAS 2024'!$A$9:$A$874,"19/06/2025",'AT. MEDICAS 2024'!$I$9:$I$874,B142)</f>
        <v>0</v>
      </c>
      <c r="V142" s="30">
        <f>COUNTIFS('AT. MEDICAS 2024'!$A$9:$A$874,"20/06/2025",'AT. MEDICAS 2024'!$I$9:$I$874,B142)</f>
        <v>0</v>
      </c>
      <c r="W142" s="30">
        <f>COUNTIFS('AT. MEDICAS 2024'!$A$9:$A$874,"21/06/2025",'AT. MEDICAS 2024'!$I$9:$I$874,B142)</f>
        <v>0</v>
      </c>
      <c r="X142" s="30">
        <f>COUNTIFS('AT. MEDICAS 2024'!$A$9:$A$874,"22/06/2025",'AT. MEDICAS 2024'!$I$9:$I$874,B142)</f>
        <v>0</v>
      </c>
      <c r="Y142" s="30">
        <f>COUNTIFS('AT. MEDICAS 2024'!$A$9:$A$874,"23/06/2025",'AT. MEDICAS 2024'!$I$9:$I$874,B142)</f>
        <v>0</v>
      </c>
      <c r="Z142" s="30">
        <f>COUNTIFS('AT. MEDICAS 2024'!$A$9:$A$874,"24/06/2025",'AT. MEDICAS 2024'!$I$9:$I$874,B142)</f>
        <v>0</v>
      </c>
      <c r="AA142" s="30">
        <f>COUNTIFS('AT. MEDICAS 2024'!$A$9:$A$874,"25/06/2025",'AT. MEDICAS 2024'!$I$9:$I$874,B142)</f>
        <v>0</v>
      </c>
      <c r="AB142" s="30">
        <f>COUNTIFS('AT. MEDICAS 2024'!$A$9:$A$874,"26/06/2025",'AT. MEDICAS 2024'!$I$9:$I$874,B142)</f>
        <v>0</v>
      </c>
      <c r="AC142" s="30">
        <f>COUNTIFS('AT. MEDICAS 2024'!$A$9:$A$874,"27/06/2025",'AT. MEDICAS 2024'!$I$9:$I$874,B142)</f>
        <v>0</v>
      </c>
      <c r="AD142" s="30">
        <f>COUNTIFS('AT. MEDICAS 2024'!$A$9:$A$874,"28/06/2025",'AT. MEDICAS 2024'!$I$9:$I$874,B142)</f>
        <v>0</v>
      </c>
      <c r="AE142" s="30">
        <f>COUNTIFS('AT. MEDICAS 2024'!$A$9:$A$874,"29/06/2025",'AT. MEDICAS 2024'!$I$9:$I$874,B142)</f>
        <v>0</v>
      </c>
      <c r="AF142" s="30">
        <f>COUNTIFS('AT. MEDICAS 2024'!$A$9:$A$874,"30/06/2025",'AT. MEDICAS 2024'!$I$9:$I$874,B142)</f>
        <v>0</v>
      </c>
      <c r="AG142" s="30"/>
      <c r="AH142" s="55">
        <f t="shared" si="21"/>
        <v>0</v>
      </c>
    </row>
    <row r="143" spans="1:34" ht="13.8" thickBot="1" x14ac:dyDescent="0.3">
      <c r="A143" s="41">
        <v>8</v>
      </c>
      <c r="B143" s="54" t="s">
        <v>92</v>
      </c>
      <c r="C143" s="30">
        <f>COUNTIFS('AT. MEDICAS 2024'!$A$9:$A$874,"01/06/2025",'AT. MEDICAS 2024'!$I$9:$I$874,B143)</f>
        <v>0</v>
      </c>
      <c r="D143" s="30">
        <f>COUNTIFS('AT. MEDICAS 2024'!$A$9:$A$874,"02/06/2025",'AT. MEDICAS 2024'!$I$9:$I$874,B143)</f>
        <v>0</v>
      </c>
      <c r="E143" s="30">
        <f>COUNTIFS('AT. MEDICAS 2024'!$A$9:$A$874,"03/06/2025",'AT. MEDICAS 2024'!$I$9:$I$874,B143)</f>
        <v>0</v>
      </c>
      <c r="F143" s="30">
        <f>COUNTIFS('AT. MEDICAS 2024'!$A$9:$A$874,"04/06/2025",'AT. MEDICAS 2024'!$I$9:$I$874,B143)</f>
        <v>0</v>
      </c>
      <c r="G143" s="30">
        <f>COUNTIFS('AT. MEDICAS 2024'!$A$9:$A$874,"05/06/2025",'AT. MEDICAS 2024'!$I$9:$I$874,B143)</f>
        <v>0</v>
      </c>
      <c r="H143" s="30">
        <f>COUNTIFS('AT. MEDICAS 2024'!$A$9:$A$874,"06/06/2025",'AT. MEDICAS 2024'!$I$9:$I$874,B143)</f>
        <v>0</v>
      </c>
      <c r="I143" s="30">
        <f>COUNTIFS('AT. MEDICAS 2024'!$A$9:$A$874,"07/06/2025",'AT. MEDICAS 2024'!$I$9:$I$874,B143)</f>
        <v>0</v>
      </c>
      <c r="J143" s="30">
        <f>COUNTIFS('AT. MEDICAS 2024'!$A$9:$A$874,"08/06/2025",'AT. MEDICAS 2024'!$I$9:$I$874,B143)</f>
        <v>0</v>
      </c>
      <c r="K143" s="30">
        <f>COUNTIFS('AT. MEDICAS 2024'!$A$9:$A$874,"09/06/2025",'AT. MEDICAS 2024'!$I$9:$I$874,B143)</f>
        <v>0</v>
      </c>
      <c r="L143" s="30">
        <f>COUNTIFS('AT. MEDICAS 2024'!$A$9:$A$874,"10/06/2025",'AT. MEDICAS 2024'!$I$9:$I$874,B143)</f>
        <v>0</v>
      </c>
      <c r="M143" s="30">
        <f>COUNTIFS('AT. MEDICAS 2024'!$A$9:$A$874,"11/06/2025",'AT. MEDICAS 2024'!$I$9:$I$874,B143)</f>
        <v>0</v>
      </c>
      <c r="N143" s="30">
        <f>COUNTIFS('AT. MEDICAS 2024'!$A$9:$A$874,"12/06/2025",'AT. MEDICAS 2024'!$I$9:$I$874,B143)</f>
        <v>0</v>
      </c>
      <c r="O143" s="30">
        <f>COUNTIFS('AT. MEDICAS 2024'!$A$9:$A$874,"13/06/2025",'AT. MEDICAS 2024'!$I$9:$I$874,B143)</f>
        <v>0</v>
      </c>
      <c r="P143" s="30">
        <f>COUNTIFS('AT. MEDICAS 2024'!$A$9:$A$874,"14/06/2025",'AT. MEDICAS 2024'!$I$9:$I$874,B143)</f>
        <v>0</v>
      </c>
      <c r="Q143" s="30">
        <f>COUNTIFS('AT. MEDICAS 2024'!$A$9:$A$874,"15/06/2025",'AT. MEDICAS 2024'!$I$9:$I$874,B143)</f>
        <v>0</v>
      </c>
      <c r="R143" s="30">
        <f>COUNTIFS('AT. MEDICAS 2024'!$A$9:$A$874,"16/06/2025",'AT. MEDICAS 2024'!$I$9:$I$874,B143)</f>
        <v>0</v>
      </c>
      <c r="S143" s="30">
        <f>COUNTIFS('AT. MEDICAS 2024'!$A$9:$A$874,"17/06/2025",'AT. MEDICAS 2024'!$I$9:$I$874,B143)</f>
        <v>0</v>
      </c>
      <c r="T143" s="30">
        <f>COUNTIFS('AT. MEDICAS 2024'!$A$9:$A$874,"18/06/2025",'AT. MEDICAS 2024'!$I$9:$I$874,B143)</f>
        <v>0</v>
      </c>
      <c r="U143" s="30">
        <f>COUNTIFS('AT. MEDICAS 2024'!$A$9:$A$874,"19/06/2025",'AT. MEDICAS 2024'!$I$9:$I$874,B143)</f>
        <v>0</v>
      </c>
      <c r="V143" s="30">
        <f>COUNTIFS('AT. MEDICAS 2024'!$A$9:$A$874,"20/06/2025",'AT. MEDICAS 2024'!$I$9:$I$874,B143)</f>
        <v>0</v>
      </c>
      <c r="W143" s="30">
        <f>COUNTIFS('AT. MEDICAS 2024'!$A$9:$A$874,"21/06/2025",'AT. MEDICAS 2024'!$I$9:$I$874,B143)</f>
        <v>0</v>
      </c>
      <c r="X143" s="30">
        <f>COUNTIFS('AT. MEDICAS 2024'!$A$9:$A$874,"22/06/2025",'AT. MEDICAS 2024'!$I$9:$I$874,B143)</f>
        <v>0</v>
      </c>
      <c r="Y143" s="30">
        <f>COUNTIFS('AT. MEDICAS 2024'!$A$9:$A$874,"23/06/2025",'AT. MEDICAS 2024'!$I$9:$I$874,B143)</f>
        <v>0</v>
      </c>
      <c r="Z143" s="30">
        <f>COUNTIFS('AT. MEDICAS 2024'!$A$9:$A$874,"24/06/2025",'AT. MEDICAS 2024'!$I$9:$I$874,B143)</f>
        <v>0</v>
      </c>
      <c r="AA143" s="30">
        <f>COUNTIFS('AT. MEDICAS 2024'!$A$9:$A$874,"25/06/2025",'AT. MEDICAS 2024'!$I$9:$I$874,B143)</f>
        <v>0</v>
      </c>
      <c r="AB143" s="30">
        <f>COUNTIFS('AT. MEDICAS 2024'!$A$9:$A$874,"26/06/2025",'AT. MEDICAS 2024'!$I$9:$I$874,B143)</f>
        <v>0</v>
      </c>
      <c r="AC143" s="30">
        <f>COUNTIFS('AT. MEDICAS 2024'!$A$9:$A$874,"27/06/2025",'AT. MEDICAS 2024'!$I$9:$I$874,B143)</f>
        <v>0</v>
      </c>
      <c r="AD143" s="30">
        <f>COUNTIFS('AT. MEDICAS 2024'!$A$9:$A$874,"28/06/2025",'AT. MEDICAS 2024'!$I$9:$I$874,B143)</f>
        <v>0</v>
      </c>
      <c r="AE143" s="30">
        <f>COUNTIFS('AT. MEDICAS 2024'!$A$9:$A$874,"29/06/2025",'AT. MEDICAS 2024'!$I$9:$I$874,B143)</f>
        <v>0</v>
      </c>
      <c r="AF143" s="30">
        <f>COUNTIFS('AT. MEDICAS 2024'!$A$9:$A$874,"30/06/2025",'AT. MEDICAS 2024'!$I$9:$I$874,B143)</f>
        <v>0</v>
      </c>
      <c r="AG143" s="30"/>
      <c r="AH143" s="55">
        <f t="shared" si="21"/>
        <v>0</v>
      </c>
    </row>
    <row r="144" spans="1:34" ht="13.8" thickBot="1" x14ac:dyDescent="0.3">
      <c r="A144" s="41">
        <v>9</v>
      </c>
      <c r="B144" s="54" t="s">
        <v>188</v>
      </c>
      <c r="C144" s="30">
        <f>COUNTIFS('AT. MEDICAS 2024'!$A$9:$A$874,"01/06/2025",'AT. MEDICAS 2024'!$I$9:$I$874,B144)</f>
        <v>0</v>
      </c>
      <c r="D144" s="30">
        <f>COUNTIFS('AT. MEDICAS 2024'!$A$9:$A$874,"02/06/2025",'AT. MEDICAS 2024'!$I$9:$I$874,B144)</f>
        <v>0</v>
      </c>
      <c r="E144" s="30">
        <f>COUNTIFS('AT. MEDICAS 2024'!$A$9:$A$874,"03/06/2025",'AT. MEDICAS 2024'!$I$9:$I$874,B144)</f>
        <v>0</v>
      </c>
      <c r="F144" s="30">
        <f>COUNTIFS('AT. MEDICAS 2024'!$A$9:$A$874,"04/06/2025",'AT. MEDICAS 2024'!$I$9:$I$874,B144)</f>
        <v>0</v>
      </c>
      <c r="G144" s="30">
        <f>COUNTIFS('AT. MEDICAS 2024'!$A$9:$A$874,"05/06/2025",'AT. MEDICAS 2024'!$I$9:$I$874,B144)</f>
        <v>0</v>
      </c>
      <c r="H144" s="30">
        <f>COUNTIFS('AT. MEDICAS 2024'!$A$9:$A$874,"06/06/2025",'AT. MEDICAS 2024'!$I$9:$I$874,B144)</f>
        <v>0</v>
      </c>
      <c r="I144" s="30">
        <f>COUNTIFS('AT. MEDICAS 2024'!$A$9:$A$874,"07/06/2025",'AT. MEDICAS 2024'!$I$9:$I$874,B144)</f>
        <v>0</v>
      </c>
      <c r="J144" s="30">
        <f>COUNTIFS('AT. MEDICAS 2024'!$A$9:$A$874,"08/06/2025",'AT. MEDICAS 2024'!$I$9:$I$874,B144)</f>
        <v>0</v>
      </c>
      <c r="K144" s="30">
        <f>COUNTIFS('AT. MEDICAS 2024'!$A$9:$A$874,"09/06/2025",'AT. MEDICAS 2024'!$I$9:$I$874,B144)</f>
        <v>0</v>
      </c>
      <c r="L144" s="30">
        <f>COUNTIFS('AT. MEDICAS 2024'!$A$9:$A$874,"10/06/2025",'AT. MEDICAS 2024'!$I$9:$I$874,B144)</f>
        <v>0</v>
      </c>
      <c r="M144" s="30">
        <f>COUNTIFS('AT. MEDICAS 2024'!$A$9:$A$874,"11/06/2025",'AT. MEDICAS 2024'!$I$9:$I$874,B144)</f>
        <v>0</v>
      </c>
      <c r="N144" s="30">
        <f>COUNTIFS('AT. MEDICAS 2024'!$A$9:$A$874,"12/06/2025",'AT. MEDICAS 2024'!$I$9:$I$874,B144)</f>
        <v>0</v>
      </c>
      <c r="O144" s="30">
        <f>COUNTIFS('AT. MEDICAS 2024'!$A$9:$A$874,"13/06/2025",'AT. MEDICAS 2024'!$I$9:$I$874,B144)</f>
        <v>0</v>
      </c>
      <c r="P144" s="30">
        <f>COUNTIFS('AT. MEDICAS 2024'!$A$9:$A$874,"14/06/2025",'AT. MEDICAS 2024'!$I$9:$I$874,B144)</f>
        <v>0</v>
      </c>
      <c r="Q144" s="30">
        <f>COUNTIFS('AT. MEDICAS 2024'!$A$9:$A$874,"15/06/2025",'AT. MEDICAS 2024'!$I$9:$I$874,B144)</f>
        <v>0</v>
      </c>
      <c r="R144" s="30">
        <f>COUNTIFS('AT. MEDICAS 2024'!$A$9:$A$874,"16/06/2025",'AT. MEDICAS 2024'!$I$9:$I$874,B144)</f>
        <v>0</v>
      </c>
      <c r="S144" s="30">
        <f>COUNTIFS('AT. MEDICAS 2024'!$A$9:$A$874,"17/06/2025",'AT. MEDICAS 2024'!$I$9:$I$874,B144)</f>
        <v>0</v>
      </c>
      <c r="T144" s="30">
        <f>COUNTIFS('AT. MEDICAS 2024'!$A$9:$A$874,"18/06/2025",'AT. MEDICAS 2024'!$I$9:$I$874,B144)</f>
        <v>0</v>
      </c>
      <c r="U144" s="30">
        <f>COUNTIFS('AT. MEDICAS 2024'!$A$9:$A$874,"19/06/2025",'AT. MEDICAS 2024'!$I$9:$I$874,B144)</f>
        <v>0</v>
      </c>
      <c r="V144" s="30">
        <f>COUNTIFS('AT. MEDICAS 2024'!$A$9:$A$874,"20/06/2025",'AT. MEDICAS 2024'!$I$9:$I$874,B144)</f>
        <v>0</v>
      </c>
      <c r="W144" s="30">
        <f>COUNTIFS('AT. MEDICAS 2024'!$A$9:$A$874,"21/06/2025",'AT. MEDICAS 2024'!$I$9:$I$874,B144)</f>
        <v>0</v>
      </c>
      <c r="X144" s="30">
        <f>COUNTIFS('AT. MEDICAS 2024'!$A$9:$A$874,"22/06/2025",'AT. MEDICAS 2024'!$I$9:$I$874,B144)</f>
        <v>0</v>
      </c>
      <c r="Y144" s="30">
        <f>COUNTIFS('AT. MEDICAS 2024'!$A$9:$A$874,"23/06/2025",'AT. MEDICAS 2024'!$I$9:$I$874,B144)</f>
        <v>0</v>
      </c>
      <c r="Z144" s="30">
        <f>COUNTIFS('AT. MEDICAS 2024'!$A$9:$A$874,"24/06/2025",'AT. MEDICAS 2024'!$I$9:$I$874,B144)</f>
        <v>0</v>
      </c>
      <c r="AA144" s="30">
        <f>COUNTIFS('AT. MEDICAS 2024'!$A$9:$A$874,"25/06/2025",'AT. MEDICAS 2024'!$I$9:$I$874,B144)</f>
        <v>0</v>
      </c>
      <c r="AB144" s="30">
        <f>COUNTIFS('AT. MEDICAS 2024'!$A$9:$A$874,"26/06/2025",'AT. MEDICAS 2024'!$I$9:$I$874,B144)</f>
        <v>0</v>
      </c>
      <c r="AC144" s="30">
        <f>COUNTIFS('AT. MEDICAS 2024'!$A$9:$A$874,"27/06/2025",'AT. MEDICAS 2024'!$I$9:$I$874,B144)</f>
        <v>0</v>
      </c>
      <c r="AD144" s="30">
        <f>COUNTIFS('AT. MEDICAS 2024'!$A$9:$A$874,"28/06/2025",'AT. MEDICAS 2024'!$I$9:$I$874,B144)</f>
        <v>0</v>
      </c>
      <c r="AE144" s="30">
        <f>COUNTIFS('AT. MEDICAS 2024'!$A$9:$A$874,"29/06/2025",'AT. MEDICAS 2024'!$I$9:$I$874,B144)</f>
        <v>0</v>
      </c>
      <c r="AF144" s="30">
        <f>COUNTIFS('AT. MEDICAS 2024'!$A$9:$A$874,"30/06/2025",'AT. MEDICAS 2024'!$I$9:$I$874,B144)</f>
        <v>0</v>
      </c>
      <c r="AG144" s="30"/>
      <c r="AH144" s="55">
        <f t="shared" si="21"/>
        <v>0</v>
      </c>
    </row>
    <row r="145" spans="1:34" ht="13.8" thickBot="1" x14ac:dyDescent="0.3">
      <c r="A145" s="41">
        <v>10</v>
      </c>
      <c r="B145" s="54" t="s">
        <v>97</v>
      </c>
      <c r="C145" s="30">
        <f>COUNTIFS('AT. MEDICAS 2024'!$A$9:$A$874,"01/06/2025",'AT. MEDICAS 2024'!$I$9:$I$874,B145)</f>
        <v>0</v>
      </c>
      <c r="D145" s="30">
        <f>COUNTIFS('AT. MEDICAS 2024'!$A$9:$A$874,"02/06/2025",'AT. MEDICAS 2024'!$I$9:$I$874,B145)</f>
        <v>0</v>
      </c>
      <c r="E145" s="30">
        <f>COUNTIFS('AT. MEDICAS 2024'!$A$9:$A$874,"03/06/2025",'AT. MEDICAS 2024'!$I$9:$I$874,B145)</f>
        <v>0</v>
      </c>
      <c r="F145" s="30">
        <f>COUNTIFS('AT. MEDICAS 2024'!$A$9:$A$874,"04/06/2025",'AT. MEDICAS 2024'!$I$9:$I$874,B145)</f>
        <v>0</v>
      </c>
      <c r="G145" s="30">
        <f>COUNTIFS('AT. MEDICAS 2024'!$A$9:$A$874,"05/06/2025",'AT. MEDICAS 2024'!$I$9:$I$874,B145)</f>
        <v>0</v>
      </c>
      <c r="H145" s="30">
        <f>COUNTIFS('AT. MEDICAS 2024'!$A$9:$A$874,"06/06/2025",'AT. MEDICAS 2024'!$I$9:$I$874,B145)</f>
        <v>0</v>
      </c>
      <c r="I145" s="30">
        <f>COUNTIFS('AT. MEDICAS 2024'!$A$9:$A$874,"07/06/2025",'AT. MEDICAS 2024'!$I$9:$I$874,B145)</f>
        <v>0</v>
      </c>
      <c r="J145" s="30">
        <f>COUNTIFS('AT. MEDICAS 2024'!$A$9:$A$874,"08/06/2025",'AT. MEDICAS 2024'!$I$9:$I$874,B145)</f>
        <v>0</v>
      </c>
      <c r="K145" s="30">
        <f>COUNTIFS('AT. MEDICAS 2024'!$A$9:$A$874,"09/06/2025",'AT. MEDICAS 2024'!$I$9:$I$874,B145)</f>
        <v>0</v>
      </c>
      <c r="L145" s="30">
        <f>COUNTIFS('AT. MEDICAS 2024'!$A$9:$A$874,"10/06/2025",'AT. MEDICAS 2024'!$I$9:$I$874,B145)</f>
        <v>0</v>
      </c>
      <c r="M145" s="30">
        <f>COUNTIFS('AT. MEDICAS 2024'!$A$9:$A$874,"11/06/2025",'AT. MEDICAS 2024'!$I$9:$I$874,B145)</f>
        <v>0</v>
      </c>
      <c r="N145" s="30">
        <f>COUNTIFS('AT. MEDICAS 2024'!$A$9:$A$874,"12/06/2025",'AT. MEDICAS 2024'!$I$9:$I$874,B145)</f>
        <v>0</v>
      </c>
      <c r="O145" s="30">
        <f>COUNTIFS('AT. MEDICAS 2024'!$A$9:$A$874,"13/06/2025",'AT. MEDICAS 2024'!$I$9:$I$874,B145)</f>
        <v>0</v>
      </c>
      <c r="P145" s="30">
        <f>COUNTIFS('AT. MEDICAS 2024'!$A$9:$A$874,"14/06/2025",'AT. MEDICAS 2024'!$I$9:$I$874,B145)</f>
        <v>0</v>
      </c>
      <c r="Q145" s="30">
        <f>COUNTIFS('AT. MEDICAS 2024'!$A$9:$A$874,"15/06/2025",'AT. MEDICAS 2024'!$I$9:$I$874,B145)</f>
        <v>0</v>
      </c>
      <c r="R145" s="30">
        <f>COUNTIFS('AT. MEDICAS 2024'!$A$9:$A$874,"16/06/2025",'AT. MEDICAS 2024'!$I$9:$I$874,B145)</f>
        <v>0</v>
      </c>
      <c r="S145" s="30">
        <f>COUNTIFS('AT. MEDICAS 2024'!$A$9:$A$874,"17/06/2025",'AT. MEDICAS 2024'!$I$9:$I$874,B145)</f>
        <v>0</v>
      </c>
      <c r="T145" s="30">
        <f>COUNTIFS('AT. MEDICAS 2024'!$A$9:$A$874,"18/06/2025",'AT. MEDICAS 2024'!$I$9:$I$874,B145)</f>
        <v>0</v>
      </c>
      <c r="U145" s="30">
        <f>COUNTIFS('AT. MEDICAS 2024'!$A$9:$A$874,"19/06/2025",'AT. MEDICAS 2024'!$I$9:$I$874,B145)</f>
        <v>0</v>
      </c>
      <c r="V145" s="30">
        <f>COUNTIFS('AT. MEDICAS 2024'!$A$9:$A$874,"20/06/2025",'AT. MEDICAS 2024'!$I$9:$I$874,B145)</f>
        <v>0</v>
      </c>
      <c r="W145" s="30">
        <f>COUNTIFS('AT. MEDICAS 2024'!$A$9:$A$874,"21/06/2025",'AT. MEDICAS 2024'!$I$9:$I$874,B145)</f>
        <v>0</v>
      </c>
      <c r="X145" s="30">
        <f>COUNTIFS('AT. MEDICAS 2024'!$A$9:$A$874,"22/06/2025",'AT. MEDICAS 2024'!$I$9:$I$874,B145)</f>
        <v>0</v>
      </c>
      <c r="Y145" s="30">
        <f>COUNTIFS('AT. MEDICAS 2024'!$A$9:$A$874,"23/06/2025",'AT. MEDICAS 2024'!$I$9:$I$874,B145)</f>
        <v>0</v>
      </c>
      <c r="Z145" s="30">
        <f>COUNTIFS('AT. MEDICAS 2024'!$A$9:$A$874,"24/06/2025",'AT. MEDICAS 2024'!$I$9:$I$874,B145)</f>
        <v>0</v>
      </c>
      <c r="AA145" s="30">
        <f>COUNTIFS('AT. MEDICAS 2024'!$A$9:$A$874,"25/06/2025",'AT. MEDICAS 2024'!$I$9:$I$874,B145)</f>
        <v>0</v>
      </c>
      <c r="AB145" s="30">
        <f>COUNTIFS('AT. MEDICAS 2024'!$A$9:$A$874,"26/06/2025",'AT. MEDICAS 2024'!$I$9:$I$874,B145)</f>
        <v>0</v>
      </c>
      <c r="AC145" s="30">
        <f>COUNTIFS('AT. MEDICAS 2024'!$A$9:$A$874,"27/06/2025",'AT. MEDICAS 2024'!$I$9:$I$874,B145)</f>
        <v>0</v>
      </c>
      <c r="AD145" s="30">
        <f>COUNTIFS('AT. MEDICAS 2024'!$A$9:$A$874,"28/06/2025",'AT. MEDICAS 2024'!$I$9:$I$874,B145)</f>
        <v>0</v>
      </c>
      <c r="AE145" s="30">
        <f>COUNTIFS('AT. MEDICAS 2024'!$A$9:$A$874,"29/06/2025",'AT. MEDICAS 2024'!$I$9:$I$874,B145)</f>
        <v>0</v>
      </c>
      <c r="AF145" s="30">
        <f>COUNTIFS('AT. MEDICAS 2024'!$A$9:$A$874,"30/06/2025",'AT. MEDICAS 2024'!$I$9:$I$874,B145)</f>
        <v>0</v>
      </c>
      <c r="AG145" s="30"/>
      <c r="AH145" s="55">
        <f t="shared" si="21"/>
        <v>0</v>
      </c>
    </row>
    <row r="146" spans="1:34" ht="13.8" thickBot="1" x14ac:dyDescent="0.3">
      <c r="A146" s="41">
        <v>11</v>
      </c>
      <c r="B146" s="54" t="s">
        <v>21</v>
      </c>
      <c r="C146" s="30">
        <f>COUNTIFS('AT. MEDICAS 2024'!$A$9:$A$874,"01/06/2025",'AT. MEDICAS 2024'!$I$9:$I$874,B146)</f>
        <v>0</v>
      </c>
      <c r="D146" s="30">
        <f>COUNTIFS('AT. MEDICAS 2024'!$A$9:$A$874,"02/06/2025",'AT. MEDICAS 2024'!$I$9:$I$874,B146)</f>
        <v>0</v>
      </c>
      <c r="E146" s="30">
        <f>COUNTIFS('AT. MEDICAS 2024'!$A$9:$A$874,"03/06/2025",'AT. MEDICAS 2024'!$I$9:$I$874,B146)</f>
        <v>0</v>
      </c>
      <c r="F146" s="30">
        <f>COUNTIFS('AT. MEDICAS 2024'!$A$9:$A$874,"04/06/2025",'AT. MEDICAS 2024'!$I$9:$I$874,B146)</f>
        <v>0</v>
      </c>
      <c r="G146" s="30">
        <f>COUNTIFS('AT. MEDICAS 2024'!$A$9:$A$874,"05/06/2025",'AT. MEDICAS 2024'!$I$9:$I$874,B146)</f>
        <v>0</v>
      </c>
      <c r="H146" s="30">
        <f>COUNTIFS('AT. MEDICAS 2024'!$A$9:$A$874,"06/06/2025",'AT. MEDICAS 2024'!$I$9:$I$874,B146)</f>
        <v>0</v>
      </c>
      <c r="I146" s="30">
        <f>COUNTIFS('AT. MEDICAS 2024'!$A$9:$A$874,"07/06/2025",'AT. MEDICAS 2024'!$I$9:$I$874,B146)</f>
        <v>0</v>
      </c>
      <c r="J146" s="30">
        <f>COUNTIFS('AT. MEDICAS 2024'!$A$9:$A$874,"08/06/2025",'AT. MEDICAS 2024'!$I$9:$I$874,B146)</f>
        <v>0</v>
      </c>
      <c r="K146" s="30">
        <f>COUNTIFS('AT. MEDICAS 2024'!$A$9:$A$874,"09/06/2025",'AT. MEDICAS 2024'!$I$9:$I$874,B146)</f>
        <v>0</v>
      </c>
      <c r="L146" s="30">
        <f>COUNTIFS('AT. MEDICAS 2024'!$A$9:$A$874,"10/06/2025",'AT. MEDICAS 2024'!$I$9:$I$874,B146)</f>
        <v>0</v>
      </c>
      <c r="M146" s="30">
        <f>COUNTIFS('AT. MEDICAS 2024'!$A$9:$A$874,"11/06/2025",'AT. MEDICAS 2024'!$I$9:$I$874,B146)</f>
        <v>0</v>
      </c>
      <c r="N146" s="30">
        <f>COUNTIFS('AT. MEDICAS 2024'!$A$9:$A$874,"12/06/2025",'AT. MEDICAS 2024'!$I$9:$I$874,B146)</f>
        <v>0</v>
      </c>
      <c r="O146" s="30">
        <f>COUNTIFS('AT. MEDICAS 2024'!$A$9:$A$874,"13/06/2025",'AT. MEDICAS 2024'!$I$9:$I$874,B146)</f>
        <v>0</v>
      </c>
      <c r="P146" s="30">
        <f>COUNTIFS('AT. MEDICAS 2024'!$A$9:$A$874,"14/06/2025",'AT. MEDICAS 2024'!$I$9:$I$874,B146)</f>
        <v>0</v>
      </c>
      <c r="Q146" s="30">
        <f>COUNTIFS('AT. MEDICAS 2024'!$A$9:$A$874,"15/06/2025",'AT. MEDICAS 2024'!$I$9:$I$874,B146)</f>
        <v>0</v>
      </c>
      <c r="R146" s="30">
        <f>COUNTIFS('AT. MEDICAS 2024'!$A$9:$A$874,"16/06/2025",'AT. MEDICAS 2024'!$I$9:$I$874,B146)</f>
        <v>0</v>
      </c>
      <c r="S146" s="30">
        <f>COUNTIFS('AT. MEDICAS 2024'!$A$9:$A$874,"17/06/2025",'AT. MEDICAS 2024'!$I$9:$I$874,B146)</f>
        <v>0</v>
      </c>
      <c r="T146" s="30">
        <f>COUNTIFS('AT. MEDICAS 2024'!$A$9:$A$874,"18/06/2025",'AT. MEDICAS 2024'!$I$9:$I$874,B146)</f>
        <v>0</v>
      </c>
      <c r="U146" s="30">
        <f>COUNTIFS('AT. MEDICAS 2024'!$A$9:$A$874,"19/06/2025",'AT. MEDICAS 2024'!$I$9:$I$874,B146)</f>
        <v>0</v>
      </c>
      <c r="V146" s="30">
        <f>COUNTIFS('AT. MEDICAS 2024'!$A$9:$A$874,"20/06/2025",'AT. MEDICAS 2024'!$I$9:$I$874,B146)</f>
        <v>0</v>
      </c>
      <c r="W146" s="30">
        <f>COUNTIFS('AT. MEDICAS 2024'!$A$9:$A$874,"21/06/2025",'AT. MEDICAS 2024'!$I$9:$I$874,B146)</f>
        <v>0</v>
      </c>
      <c r="X146" s="30">
        <f>COUNTIFS('AT. MEDICAS 2024'!$A$9:$A$874,"22/06/2025",'AT. MEDICAS 2024'!$I$9:$I$874,B146)</f>
        <v>0</v>
      </c>
      <c r="Y146" s="30">
        <f>COUNTIFS('AT. MEDICAS 2024'!$A$9:$A$874,"23/06/2025",'AT. MEDICAS 2024'!$I$9:$I$874,B146)</f>
        <v>0</v>
      </c>
      <c r="Z146" s="30">
        <f>COUNTIFS('AT. MEDICAS 2024'!$A$9:$A$874,"24/06/2025",'AT. MEDICAS 2024'!$I$9:$I$874,B146)</f>
        <v>0</v>
      </c>
      <c r="AA146" s="30">
        <f>COUNTIFS('AT. MEDICAS 2024'!$A$9:$A$874,"25/06/2025",'AT. MEDICAS 2024'!$I$9:$I$874,B146)</f>
        <v>0</v>
      </c>
      <c r="AB146" s="30">
        <f>COUNTIFS('AT. MEDICAS 2024'!$A$9:$A$874,"26/06/2025",'AT. MEDICAS 2024'!$I$9:$I$874,B146)</f>
        <v>0</v>
      </c>
      <c r="AC146" s="30">
        <f>COUNTIFS('AT. MEDICAS 2024'!$A$9:$A$874,"27/06/2025",'AT. MEDICAS 2024'!$I$9:$I$874,B146)</f>
        <v>0</v>
      </c>
      <c r="AD146" s="30">
        <f>COUNTIFS('AT. MEDICAS 2024'!$A$9:$A$874,"28/06/2025",'AT. MEDICAS 2024'!$I$9:$I$874,B146)</f>
        <v>0</v>
      </c>
      <c r="AE146" s="30">
        <f>COUNTIFS('AT. MEDICAS 2024'!$A$9:$A$874,"29/06/2025",'AT. MEDICAS 2024'!$I$9:$I$874,B146)</f>
        <v>0</v>
      </c>
      <c r="AF146" s="30">
        <f>COUNTIFS('AT. MEDICAS 2024'!$A$9:$A$874,"30/06/2025",'AT. MEDICAS 2024'!$I$9:$I$874,B146)</f>
        <v>0</v>
      </c>
      <c r="AG146" s="30"/>
      <c r="AH146" s="55">
        <f t="shared" si="21"/>
        <v>0</v>
      </c>
    </row>
    <row r="147" spans="1:34" ht="13.8" thickBot="1" x14ac:dyDescent="0.3">
      <c r="A147" s="41">
        <v>12</v>
      </c>
      <c r="B147" s="54" t="s">
        <v>23</v>
      </c>
      <c r="C147" s="30">
        <f>COUNTIFS('AT. MEDICAS 2024'!$A$9:$A$874,"01/06/2025",'AT. MEDICAS 2024'!$I$9:$I$874,B147)</f>
        <v>0</v>
      </c>
      <c r="D147" s="30">
        <f>COUNTIFS('AT. MEDICAS 2024'!$A$9:$A$874,"02/06/2025",'AT. MEDICAS 2024'!$I$9:$I$874,B147)</f>
        <v>0</v>
      </c>
      <c r="E147" s="30">
        <f>COUNTIFS('AT. MEDICAS 2024'!$A$9:$A$874,"03/06/2025",'AT. MEDICAS 2024'!$I$9:$I$874,B147)</f>
        <v>0</v>
      </c>
      <c r="F147" s="30">
        <f>COUNTIFS('AT. MEDICAS 2024'!$A$9:$A$874,"04/06/2025",'AT. MEDICAS 2024'!$I$9:$I$874,B147)</f>
        <v>0</v>
      </c>
      <c r="G147" s="30">
        <f>COUNTIFS('AT. MEDICAS 2024'!$A$9:$A$874,"05/06/2025",'AT. MEDICAS 2024'!$I$9:$I$874,B147)</f>
        <v>0</v>
      </c>
      <c r="H147" s="30">
        <f>COUNTIFS('AT. MEDICAS 2024'!$A$9:$A$874,"06/06/2025",'AT. MEDICAS 2024'!$I$9:$I$874,B147)</f>
        <v>0</v>
      </c>
      <c r="I147" s="30">
        <f>COUNTIFS('AT. MEDICAS 2024'!$A$9:$A$874,"07/06/2025",'AT. MEDICAS 2024'!$I$9:$I$874,B147)</f>
        <v>0</v>
      </c>
      <c r="J147" s="30">
        <f>COUNTIFS('AT. MEDICAS 2024'!$A$9:$A$874,"08/06/2025",'AT. MEDICAS 2024'!$I$9:$I$874,B147)</f>
        <v>0</v>
      </c>
      <c r="K147" s="30">
        <f>COUNTIFS('AT. MEDICAS 2024'!$A$9:$A$874,"09/06/2025",'AT. MEDICAS 2024'!$I$9:$I$874,B147)</f>
        <v>0</v>
      </c>
      <c r="L147" s="30">
        <f>COUNTIFS('AT. MEDICAS 2024'!$A$9:$A$874,"10/06/2025",'AT. MEDICAS 2024'!$I$9:$I$874,B147)</f>
        <v>0</v>
      </c>
      <c r="M147" s="30">
        <f>COUNTIFS('AT. MEDICAS 2024'!$A$9:$A$874,"11/06/2025",'AT. MEDICAS 2024'!$I$9:$I$874,B147)</f>
        <v>0</v>
      </c>
      <c r="N147" s="30">
        <f>COUNTIFS('AT. MEDICAS 2024'!$A$9:$A$874,"12/06/2025",'AT. MEDICAS 2024'!$I$9:$I$874,B147)</f>
        <v>0</v>
      </c>
      <c r="O147" s="30">
        <f>COUNTIFS('AT. MEDICAS 2024'!$A$9:$A$874,"13/06/2025",'AT. MEDICAS 2024'!$I$9:$I$874,B147)</f>
        <v>0</v>
      </c>
      <c r="P147" s="30">
        <f>COUNTIFS('AT. MEDICAS 2024'!$A$9:$A$874,"14/06/2025",'AT. MEDICAS 2024'!$I$9:$I$874,B147)</f>
        <v>0</v>
      </c>
      <c r="Q147" s="30">
        <f>COUNTIFS('AT. MEDICAS 2024'!$A$9:$A$874,"15/06/2025",'AT. MEDICAS 2024'!$I$9:$I$874,B147)</f>
        <v>0</v>
      </c>
      <c r="R147" s="30">
        <f>COUNTIFS('AT. MEDICAS 2024'!$A$9:$A$874,"16/06/2025",'AT. MEDICAS 2024'!$I$9:$I$874,B147)</f>
        <v>0</v>
      </c>
      <c r="S147" s="30">
        <f>COUNTIFS('AT. MEDICAS 2024'!$A$9:$A$874,"17/06/2025",'AT. MEDICAS 2024'!$I$9:$I$874,B147)</f>
        <v>0</v>
      </c>
      <c r="T147" s="30">
        <f>COUNTIFS('AT. MEDICAS 2024'!$A$9:$A$874,"18/06/2025",'AT. MEDICAS 2024'!$I$9:$I$874,B147)</f>
        <v>0</v>
      </c>
      <c r="U147" s="30">
        <f>COUNTIFS('AT. MEDICAS 2024'!$A$9:$A$874,"19/06/2025",'AT. MEDICAS 2024'!$I$9:$I$874,B147)</f>
        <v>0</v>
      </c>
      <c r="V147" s="30">
        <f>COUNTIFS('AT. MEDICAS 2024'!$A$9:$A$874,"20/06/2025",'AT. MEDICAS 2024'!$I$9:$I$874,B147)</f>
        <v>0</v>
      </c>
      <c r="W147" s="30">
        <f>COUNTIFS('AT. MEDICAS 2024'!$A$9:$A$874,"21/06/2025",'AT. MEDICAS 2024'!$I$9:$I$874,B147)</f>
        <v>0</v>
      </c>
      <c r="X147" s="30">
        <f>COUNTIFS('AT. MEDICAS 2024'!$A$9:$A$874,"22/06/2025",'AT. MEDICAS 2024'!$I$9:$I$874,B147)</f>
        <v>0</v>
      </c>
      <c r="Y147" s="30">
        <f>COUNTIFS('AT. MEDICAS 2024'!$A$9:$A$874,"23/06/2025",'AT. MEDICAS 2024'!$I$9:$I$874,B147)</f>
        <v>0</v>
      </c>
      <c r="Z147" s="30">
        <f>COUNTIFS('AT. MEDICAS 2024'!$A$9:$A$874,"24/06/2025",'AT. MEDICAS 2024'!$I$9:$I$874,B147)</f>
        <v>0</v>
      </c>
      <c r="AA147" s="30">
        <f>COUNTIFS('AT. MEDICAS 2024'!$A$9:$A$874,"25/06/2025",'AT. MEDICAS 2024'!$I$9:$I$874,B147)</f>
        <v>0</v>
      </c>
      <c r="AB147" s="30">
        <f>COUNTIFS('AT. MEDICAS 2024'!$A$9:$A$874,"26/06/2025",'AT. MEDICAS 2024'!$I$9:$I$874,B147)</f>
        <v>0</v>
      </c>
      <c r="AC147" s="30">
        <f>COUNTIFS('AT. MEDICAS 2024'!$A$9:$A$874,"27/06/2025",'AT. MEDICAS 2024'!$I$9:$I$874,B147)</f>
        <v>0</v>
      </c>
      <c r="AD147" s="30">
        <f>COUNTIFS('AT. MEDICAS 2024'!$A$9:$A$874,"28/06/2025",'AT. MEDICAS 2024'!$I$9:$I$874,B147)</f>
        <v>0</v>
      </c>
      <c r="AE147" s="30">
        <f>COUNTIFS('AT. MEDICAS 2024'!$A$9:$A$874,"29/06/2025",'AT. MEDICAS 2024'!$I$9:$I$874,B147)</f>
        <v>0</v>
      </c>
      <c r="AF147" s="30">
        <f>COUNTIFS('AT. MEDICAS 2024'!$A$9:$A$874,"30/06/2025",'AT. MEDICAS 2024'!$I$9:$I$874,B147)</f>
        <v>0</v>
      </c>
      <c r="AG147" s="30"/>
      <c r="AH147" s="55">
        <f t="shared" si="21"/>
        <v>0</v>
      </c>
    </row>
    <row r="148" spans="1:34" ht="13.8" thickBot="1" x14ac:dyDescent="0.3">
      <c r="A148" s="41">
        <v>13</v>
      </c>
      <c r="B148" s="54" t="s">
        <v>57</v>
      </c>
      <c r="C148" s="30">
        <f>COUNTIFS('AT. MEDICAS 2024'!$A$9:$A$874,"01/06/2025",'AT. MEDICAS 2024'!$I$9:$I$874,B148)</f>
        <v>0</v>
      </c>
      <c r="D148" s="30">
        <f>COUNTIFS('AT. MEDICAS 2024'!$A$9:$A$874,"02/06/2025",'AT. MEDICAS 2024'!$I$9:$I$874,B148)</f>
        <v>0</v>
      </c>
      <c r="E148" s="30">
        <f>COUNTIFS('AT. MEDICAS 2024'!$A$9:$A$874,"03/06/2025",'AT. MEDICAS 2024'!$I$9:$I$874,B148)</f>
        <v>0</v>
      </c>
      <c r="F148" s="30">
        <f>COUNTIFS('AT. MEDICAS 2024'!$A$9:$A$874,"04/06/2025",'AT. MEDICAS 2024'!$I$9:$I$874,B148)</f>
        <v>0</v>
      </c>
      <c r="G148" s="30">
        <f>COUNTIFS('AT. MEDICAS 2024'!$A$9:$A$874,"05/06/2025",'AT. MEDICAS 2024'!$I$9:$I$874,B148)</f>
        <v>0</v>
      </c>
      <c r="H148" s="30">
        <f>COUNTIFS('AT. MEDICAS 2024'!$A$9:$A$874,"06/06/2025",'AT. MEDICAS 2024'!$I$9:$I$874,B148)</f>
        <v>0</v>
      </c>
      <c r="I148" s="30">
        <f>COUNTIFS('AT. MEDICAS 2024'!$A$9:$A$874,"07/06/2025",'AT. MEDICAS 2024'!$I$9:$I$874,B148)</f>
        <v>0</v>
      </c>
      <c r="J148" s="30">
        <f>COUNTIFS('AT. MEDICAS 2024'!$A$9:$A$874,"08/06/2025",'AT. MEDICAS 2024'!$I$9:$I$874,B148)</f>
        <v>0</v>
      </c>
      <c r="K148" s="30">
        <f>COUNTIFS('AT. MEDICAS 2024'!$A$9:$A$874,"09/06/2025",'AT. MEDICAS 2024'!$I$9:$I$874,B148)</f>
        <v>0</v>
      </c>
      <c r="L148" s="30">
        <f>COUNTIFS('AT. MEDICAS 2024'!$A$9:$A$874,"10/06/2025",'AT. MEDICAS 2024'!$I$9:$I$874,B148)</f>
        <v>0</v>
      </c>
      <c r="M148" s="30">
        <f>COUNTIFS('AT. MEDICAS 2024'!$A$9:$A$874,"11/06/2025",'AT. MEDICAS 2024'!$I$9:$I$874,B148)</f>
        <v>0</v>
      </c>
      <c r="N148" s="30">
        <f>COUNTIFS('AT. MEDICAS 2024'!$A$9:$A$874,"12/06/2025",'AT. MEDICAS 2024'!$I$9:$I$874,B148)</f>
        <v>0</v>
      </c>
      <c r="O148" s="30">
        <f>COUNTIFS('AT. MEDICAS 2024'!$A$9:$A$874,"13/06/2025",'AT. MEDICAS 2024'!$I$9:$I$874,B148)</f>
        <v>0</v>
      </c>
      <c r="P148" s="30">
        <f>COUNTIFS('AT. MEDICAS 2024'!$A$9:$A$874,"14/06/2025",'AT. MEDICAS 2024'!$I$9:$I$874,B148)</f>
        <v>0</v>
      </c>
      <c r="Q148" s="30">
        <f>COUNTIFS('AT. MEDICAS 2024'!$A$9:$A$874,"15/06/2025",'AT. MEDICAS 2024'!$I$9:$I$874,B148)</f>
        <v>0</v>
      </c>
      <c r="R148" s="30">
        <f>COUNTIFS('AT. MEDICAS 2024'!$A$9:$A$874,"16/06/2025",'AT. MEDICAS 2024'!$I$9:$I$874,B148)</f>
        <v>0</v>
      </c>
      <c r="S148" s="30">
        <f>COUNTIFS('AT. MEDICAS 2024'!$A$9:$A$874,"17/06/2025",'AT. MEDICAS 2024'!$I$9:$I$874,B148)</f>
        <v>0</v>
      </c>
      <c r="T148" s="30">
        <f>COUNTIFS('AT. MEDICAS 2024'!$A$9:$A$874,"18/06/2025",'AT. MEDICAS 2024'!$I$9:$I$874,B148)</f>
        <v>0</v>
      </c>
      <c r="U148" s="30">
        <f>COUNTIFS('AT. MEDICAS 2024'!$A$9:$A$874,"19/06/2025",'AT. MEDICAS 2024'!$I$9:$I$874,B148)</f>
        <v>0</v>
      </c>
      <c r="V148" s="30">
        <f>COUNTIFS('AT. MEDICAS 2024'!$A$9:$A$874,"20/06/2025",'AT. MEDICAS 2024'!$I$9:$I$874,B148)</f>
        <v>0</v>
      </c>
      <c r="W148" s="30">
        <f>COUNTIFS('AT. MEDICAS 2024'!$A$9:$A$874,"21/06/2025",'AT. MEDICAS 2024'!$I$9:$I$874,B148)</f>
        <v>0</v>
      </c>
      <c r="X148" s="30">
        <f>COUNTIFS('AT. MEDICAS 2024'!$A$9:$A$874,"22/06/2025",'AT. MEDICAS 2024'!$I$9:$I$874,B148)</f>
        <v>0</v>
      </c>
      <c r="Y148" s="30">
        <f>COUNTIFS('AT. MEDICAS 2024'!$A$9:$A$874,"23/06/2025",'AT. MEDICAS 2024'!$I$9:$I$874,B148)</f>
        <v>0</v>
      </c>
      <c r="Z148" s="30">
        <f>COUNTIFS('AT. MEDICAS 2024'!$A$9:$A$874,"24/06/2025",'AT. MEDICAS 2024'!$I$9:$I$874,B148)</f>
        <v>0</v>
      </c>
      <c r="AA148" s="30">
        <f>COUNTIFS('AT. MEDICAS 2024'!$A$9:$A$874,"25/06/2025",'AT. MEDICAS 2024'!$I$9:$I$874,B148)</f>
        <v>0</v>
      </c>
      <c r="AB148" s="30">
        <f>COUNTIFS('AT. MEDICAS 2024'!$A$9:$A$874,"26/06/2025",'AT. MEDICAS 2024'!$I$9:$I$874,B148)</f>
        <v>0</v>
      </c>
      <c r="AC148" s="30">
        <f>COUNTIFS('AT. MEDICAS 2024'!$A$9:$A$874,"27/06/2025",'AT. MEDICAS 2024'!$I$9:$I$874,B148)</f>
        <v>0</v>
      </c>
      <c r="AD148" s="30">
        <f>COUNTIFS('AT. MEDICAS 2024'!$A$9:$A$874,"28/06/2025",'AT. MEDICAS 2024'!$I$9:$I$874,B148)</f>
        <v>0</v>
      </c>
      <c r="AE148" s="30">
        <f>COUNTIFS('AT. MEDICAS 2024'!$A$9:$A$874,"29/06/2025",'AT. MEDICAS 2024'!$I$9:$I$874,B148)</f>
        <v>0</v>
      </c>
      <c r="AF148" s="30">
        <f>COUNTIFS('AT. MEDICAS 2024'!$A$9:$A$874,"30/06/2025",'AT. MEDICAS 2024'!$I$9:$I$874,B148)</f>
        <v>0</v>
      </c>
      <c r="AG148" s="30"/>
      <c r="AH148" s="55">
        <f t="shared" si="21"/>
        <v>0</v>
      </c>
    </row>
    <row r="149" spans="1:34" ht="13.8" thickBot="1" x14ac:dyDescent="0.3">
      <c r="A149" s="41">
        <v>14</v>
      </c>
      <c r="B149" s="54" t="s">
        <v>66</v>
      </c>
      <c r="C149" s="30">
        <f>COUNTIFS('AT. MEDICAS 2024'!$A$9:$A$874,"01/06/2025",'AT. MEDICAS 2024'!$I$9:$I$874,B149)</f>
        <v>0</v>
      </c>
      <c r="D149" s="30">
        <f>COUNTIFS('AT. MEDICAS 2024'!$A$9:$A$874,"02/06/2025",'AT. MEDICAS 2024'!$I$9:$I$874,B149)</f>
        <v>0</v>
      </c>
      <c r="E149" s="30">
        <f>COUNTIFS('AT. MEDICAS 2024'!$A$9:$A$874,"03/06/2025",'AT. MEDICAS 2024'!$I$9:$I$874,B149)</f>
        <v>0</v>
      </c>
      <c r="F149" s="30">
        <f>COUNTIFS('AT. MEDICAS 2024'!$A$9:$A$874,"04/06/2025",'AT. MEDICAS 2024'!$I$9:$I$874,B149)</f>
        <v>0</v>
      </c>
      <c r="G149" s="30">
        <f>COUNTIFS('AT. MEDICAS 2024'!$A$9:$A$874,"05/06/2025",'AT. MEDICAS 2024'!$I$9:$I$874,B149)</f>
        <v>0</v>
      </c>
      <c r="H149" s="30">
        <f>COUNTIFS('AT. MEDICAS 2024'!$A$9:$A$874,"06/06/2025",'AT. MEDICAS 2024'!$I$9:$I$874,B149)</f>
        <v>0</v>
      </c>
      <c r="I149" s="30">
        <f>COUNTIFS('AT. MEDICAS 2024'!$A$9:$A$874,"07/06/2025",'AT. MEDICAS 2024'!$I$9:$I$874,B149)</f>
        <v>0</v>
      </c>
      <c r="J149" s="30">
        <f>COUNTIFS('AT. MEDICAS 2024'!$A$9:$A$874,"08/06/2025",'AT. MEDICAS 2024'!$I$9:$I$874,B149)</f>
        <v>0</v>
      </c>
      <c r="K149" s="30">
        <f>COUNTIFS('AT. MEDICAS 2024'!$A$9:$A$874,"09/06/2025",'AT. MEDICAS 2024'!$I$9:$I$874,B149)</f>
        <v>0</v>
      </c>
      <c r="L149" s="30">
        <f>COUNTIFS('AT. MEDICAS 2024'!$A$9:$A$874,"10/06/2025",'AT. MEDICAS 2024'!$I$9:$I$874,B149)</f>
        <v>0</v>
      </c>
      <c r="M149" s="30">
        <f>COUNTIFS('AT. MEDICAS 2024'!$A$9:$A$874,"11/06/2025",'AT. MEDICAS 2024'!$I$9:$I$874,B149)</f>
        <v>0</v>
      </c>
      <c r="N149" s="30">
        <f>COUNTIFS('AT. MEDICAS 2024'!$A$9:$A$874,"12/06/2025",'AT. MEDICAS 2024'!$I$9:$I$874,B149)</f>
        <v>0</v>
      </c>
      <c r="O149" s="30">
        <f>COUNTIFS('AT. MEDICAS 2024'!$A$9:$A$874,"13/06/2025",'AT. MEDICAS 2024'!$I$9:$I$874,B149)</f>
        <v>0</v>
      </c>
      <c r="P149" s="30">
        <f>COUNTIFS('AT. MEDICAS 2024'!$A$9:$A$874,"14/06/2025",'AT. MEDICAS 2024'!$I$9:$I$874,B149)</f>
        <v>0</v>
      </c>
      <c r="Q149" s="30">
        <f>COUNTIFS('AT. MEDICAS 2024'!$A$9:$A$874,"15/06/2025",'AT. MEDICAS 2024'!$I$9:$I$874,B149)</f>
        <v>0</v>
      </c>
      <c r="R149" s="30">
        <f>COUNTIFS('AT. MEDICAS 2024'!$A$9:$A$874,"16/06/2025",'AT. MEDICAS 2024'!$I$9:$I$874,B149)</f>
        <v>0</v>
      </c>
      <c r="S149" s="30">
        <f>COUNTIFS('AT. MEDICAS 2024'!$A$9:$A$874,"17/06/2025",'AT. MEDICAS 2024'!$I$9:$I$874,B149)</f>
        <v>0</v>
      </c>
      <c r="T149" s="30">
        <f>COUNTIFS('AT. MEDICAS 2024'!$A$9:$A$874,"18/06/2025",'AT. MEDICAS 2024'!$I$9:$I$874,B149)</f>
        <v>0</v>
      </c>
      <c r="U149" s="30">
        <f>COUNTIFS('AT. MEDICAS 2024'!$A$9:$A$874,"19/06/2025",'AT. MEDICAS 2024'!$I$9:$I$874,B149)</f>
        <v>0</v>
      </c>
      <c r="V149" s="30">
        <f>COUNTIFS('AT. MEDICAS 2024'!$A$9:$A$874,"20/06/2025",'AT. MEDICAS 2024'!$I$9:$I$874,B149)</f>
        <v>0</v>
      </c>
      <c r="W149" s="30">
        <f>COUNTIFS('AT. MEDICAS 2024'!$A$9:$A$874,"21/06/2025",'AT. MEDICAS 2024'!$I$9:$I$874,B149)</f>
        <v>0</v>
      </c>
      <c r="X149" s="30">
        <f>COUNTIFS('AT. MEDICAS 2024'!$A$9:$A$874,"22/06/2025",'AT. MEDICAS 2024'!$I$9:$I$874,B149)</f>
        <v>0</v>
      </c>
      <c r="Y149" s="30">
        <f>COUNTIFS('AT. MEDICAS 2024'!$A$9:$A$874,"23/06/2025",'AT. MEDICAS 2024'!$I$9:$I$874,B149)</f>
        <v>0</v>
      </c>
      <c r="Z149" s="30">
        <f>COUNTIFS('AT. MEDICAS 2024'!$A$9:$A$874,"24/06/2025",'AT. MEDICAS 2024'!$I$9:$I$874,B149)</f>
        <v>0</v>
      </c>
      <c r="AA149" s="30">
        <f>COUNTIFS('AT. MEDICAS 2024'!$A$9:$A$874,"25/06/2025",'AT. MEDICAS 2024'!$I$9:$I$874,B149)</f>
        <v>0</v>
      </c>
      <c r="AB149" s="30">
        <f>COUNTIFS('AT. MEDICAS 2024'!$A$9:$A$874,"26/06/2025",'AT. MEDICAS 2024'!$I$9:$I$874,B149)</f>
        <v>0</v>
      </c>
      <c r="AC149" s="30">
        <f>COUNTIFS('AT. MEDICAS 2024'!$A$9:$A$874,"27/06/2025",'AT. MEDICAS 2024'!$I$9:$I$874,B149)</f>
        <v>0</v>
      </c>
      <c r="AD149" s="30">
        <f>COUNTIFS('AT. MEDICAS 2024'!$A$9:$A$874,"28/06/2025",'AT. MEDICAS 2024'!$I$9:$I$874,B149)</f>
        <v>0</v>
      </c>
      <c r="AE149" s="30">
        <f>COUNTIFS('AT. MEDICAS 2024'!$A$9:$A$874,"29/06/2025",'AT. MEDICAS 2024'!$I$9:$I$874,B149)</f>
        <v>0</v>
      </c>
      <c r="AF149" s="30">
        <f>COUNTIFS('AT. MEDICAS 2024'!$A$9:$A$874,"30/06/2025",'AT. MEDICAS 2024'!$I$9:$I$874,B149)</f>
        <v>0</v>
      </c>
      <c r="AG149" s="30"/>
      <c r="AH149" s="55">
        <f t="shared" si="21"/>
        <v>0</v>
      </c>
    </row>
    <row r="150" spans="1:34" ht="13.8" thickBot="1" x14ac:dyDescent="0.3">
      <c r="A150" s="41">
        <v>15</v>
      </c>
      <c r="B150" s="54" t="s">
        <v>189</v>
      </c>
      <c r="C150" s="30">
        <f>COUNTIFS('AT. MEDICAS 2024'!$A$9:$A$874,"01/06/2025",'AT. MEDICAS 2024'!$I$9:$I$874,B150)</f>
        <v>0</v>
      </c>
      <c r="D150" s="30">
        <f>COUNTIFS('AT. MEDICAS 2024'!$A$9:$A$874,"02/06/2025",'AT. MEDICAS 2024'!$I$9:$I$874,B150)</f>
        <v>0</v>
      </c>
      <c r="E150" s="30">
        <f>COUNTIFS('AT. MEDICAS 2024'!$A$9:$A$874,"03/06/2025",'AT. MEDICAS 2024'!$I$9:$I$874,B150)</f>
        <v>0</v>
      </c>
      <c r="F150" s="30">
        <f>COUNTIFS('AT. MEDICAS 2024'!$A$9:$A$874,"04/06/2025",'AT. MEDICAS 2024'!$I$9:$I$874,B150)</f>
        <v>0</v>
      </c>
      <c r="G150" s="30">
        <f>COUNTIFS('AT. MEDICAS 2024'!$A$9:$A$874,"05/06/2025",'AT. MEDICAS 2024'!$I$9:$I$874,B150)</f>
        <v>0</v>
      </c>
      <c r="H150" s="30">
        <f>COUNTIFS('AT. MEDICAS 2024'!$A$9:$A$874,"06/06/2025",'AT. MEDICAS 2024'!$I$9:$I$874,B150)</f>
        <v>0</v>
      </c>
      <c r="I150" s="30">
        <f>COUNTIFS('AT. MEDICAS 2024'!$A$9:$A$874,"07/06/2025",'AT. MEDICAS 2024'!$I$9:$I$874,B150)</f>
        <v>0</v>
      </c>
      <c r="J150" s="30">
        <f>COUNTIFS('AT. MEDICAS 2024'!$A$9:$A$874,"08/06/2025",'AT. MEDICAS 2024'!$I$9:$I$874,B150)</f>
        <v>0</v>
      </c>
      <c r="K150" s="30">
        <f>COUNTIFS('AT. MEDICAS 2024'!$A$9:$A$874,"09/06/2025",'AT. MEDICAS 2024'!$I$9:$I$874,B150)</f>
        <v>0</v>
      </c>
      <c r="L150" s="30">
        <f>COUNTIFS('AT. MEDICAS 2024'!$A$9:$A$874,"10/06/2025",'AT. MEDICAS 2024'!$I$9:$I$874,B150)</f>
        <v>0</v>
      </c>
      <c r="M150" s="30">
        <f>COUNTIFS('AT. MEDICAS 2024'!$A$9:$A$874,"11/06/2025",'AT. MEDICAS 2024'!$I$9:$I$874,B150)</f>
        <v>0</v>
      </c>
      <c r="N150" s="30">
        <f>COUNTIFS('AT. MEDICAS 2024'!$A$9:$A$874,"12/06/2025",'AT. MEDICAS 2024'!$I$9:$I$874,B150)</f>
        <v>0</v>
      </c>
      <c r="O150" s="30">
        <f>COUNTIFS('AT. MEDICAS 2024'!$A$9:$A$874,"13/06/2025",'AT. MEDICAS 2024'!$I$9:$I$874,B150)</f>
        <v>0</v>
      </c>
      <c r="P150" s="30">
        <f>COUNTIFS('AT. MEDICAS 2024'!$A$9:$A$874,"14/06/2025",'AT. MEDICAS 2024'!$I$9:$I$874,B150)</f>
        <v>0</v>
      </c>
      <c r="Q150" s="30">
        <f>COUNTIFS('AT. MEDICAS 2024'!$A$9:$A$874,"15/06/2025",'AT. MEDICAS 2024'!$I$9:$I$874,B150)</f>
        <v>0</v>
      </c>
      <c r="R150" s="30">
        <f>COUNTIFS('AT. MEDICAS 2024'!$A$9:$A$874,"16/06/2025",'AT. MEDICAS 2024'!$I$9:$I$874,B150)</f>
        <v>0</v>
      </c>
      <c r="S150" s="30">
        <f>COUNTIFS('AT. MEDICAS 2024'!$A$9:$A$874,"17/06/2025",'AT. MEDICAS 2024'!$I$9:$I$874,B150)</f>
        <v>0</v>
      </c>
      <c r="T150" s="30">
        <f>COUNTIFS('AT. MEDICAS 2024'!$A$9:$A$874,"18/06/2025",'AT. MEDICAS 2024'!$I$9:$I$874,B150)</f>
        <v>0</v>
      </c>
      <c r="U150" s="30">
        <f>COUNTIFS('AT. MEDICAS 2024'!$A$9:$A$874,"19/06/2025",'AT. MEDICAS 2024'!$I$9:$I$874,B150)</f>
        <v>0</v>
      </c>
      <c r="V150" s="30">
        <f>COUNTIFS('AT. MEDICAS 2024'!$A$9:$A$874,"20/06/2025",'AT. MEDICAS 2024'!$I$9:$I$874,B150)</f>
        <v>0</v>
      </c>
      <c r="W150" s="30">
        <f>COUNTIFS('AT. MEDICAS 2024'!$A$9:$A$874,"21/06/2025",'AT. MEDICAS 2024'!$I$9:$I$874,B150)</f>
        <v>0</v>
      </c>
      <c r="X150" s="30">
        <f>COUNTIFS('AT. MEDICAS 2024'!$A$9:$A$874,"22/06/2025",'AT. MEDICAS 2024'!$I$9:$I$874,B150)</f>
        <v>0</v>
      </c>
      <c r="Y150" s="30">
        <f>COUNTIFS('AT. MEDICAS 2024'!$A$9:$A$874,"23/06/2025",'AT. MEDICAS 2024'!$I$9:$I$874,B150)</f>
        <v>0</v>
      </c>
      <c r="Z150" s="30">
        <f>COUNTIFS('AT. MEDICAS 2024'!$A$9:$A$874,"24/06/2025",'AT. MEDICAS 2024'!$I$9:$I$874,B150)</f>
        <v>0</v>
      </c>
      <c r="AA150" s="30">
        <f>COUNTIFS('AT. MEDICAS 2024'!$A$9:$A$874,"25/06/2025",'AT. MEDICAS 2024'!$I$9:$I$874,B150)</f>
        <v>0</v>
      </c>
      <c r="AB150" s="30">
        <f>COUNTIFS('AT. MEDICAS 2024'!$A$9:$A$874,"26/06/2025",'AT. MEDICAS 2024'!$I$9:$I$874,B150)</f>
        <v>0</v>
      </c>
      <c r="AC150" s="30">
        <f>COUNTIFS('AT. MEDICAS 2024'!$A$9:$A$874,"27/06/2025",'AT. MEDICAS 2024'!$I$9:$I$874,B150)</f>
        <v>0</v>
      </c>
      <c r="AD150" s="30">
        <f>COUNTIFS('AT. MEDICAS 2024'!$A$9:$A$874,"28/06/2025",'AT. MEDICAS 2024'!$I$9:$I$874,B150)</f>
        <v>0</v>
      </c>
      <c r="AE150" s="30">
        <f>COUNTIFS('AT. MEDICAS 2024'!$A$9:$A$874,"29/06/2025",'AT. MEDICAS 2024'!$I$9:$I$874,B150)</f>
        <v>0</v>
      </c>
      <c r="AF150" s="30">
        <f>COUNTIFS('AT. MEDICAS 2024'!$A$9:$A$874,"30/06/2025",'AT. MEDICAS 2024'!$I$9:$I$874,B150)</f>
        <v>0</v>
      </c>
      <c r="AG150" s="30"/>
      <c r="AH150" s="55">
        <f t="shared" si="21"/>
        <v>0</v>
      </c>
    </row>
    <row r="151" spans="1:34" ht="13.8" thickBot="1" x14ac:dyDescent="0.3">
      <c r="A151" s="41">
        <v>16</v>
      </c>
      <c r="B151" s="54" t="s">
        <v>14</v>
      </c>
      <c r="C151" s="30">
        <f>COUNTIFS('AT. MEDICAS 2024'!$A$9:$A$874,"01/06/2025",'AT. MEDICAS 2024'!$I$9:$I$874,B151)</f>
        <v>0</v>
      </c>
      <c r="D151" s="30">
        <f>COUNTIFS('AT. MEDICAS 2024'!$A$9:$A$874,"02/06/2025",'AT. MEDICAS 2024'!$I$9:$I$874,B151)</f>
        <v>0</v>
      </c>
      <c r="E151" s="30">
        <f>COUNTIFS('AT. MEDICAS 2024'!$A$9:$A$874,"03/06/2025",'AT. MEDICAS 2024'!$I$9:$I$874,B151)</f>
        <v>0</v>
      </c>
      <c r="F151" s="30">
        <f>COUNTIFS('AT. MEDICAS 2024'!$A$9:$A$874,"04/06/2025",'AT. MEDICAS 2024'!$I$9:$I$874,B151)</f>
        <v>0</v>
      </c>
      <c r="G151" s="30">
        <f>COUNTIFS('AT. MEDICAS 2024'!$A$9:$A$874,"05/06/2025",'AT. MEDICAS 2024'!$I$9:$I$874,B151)</f>
        <v>0</v>
      </c>
      <c r="H151" s="30">
        <f>COUNTIFS('AT. MEDICAS 2024'!$A$9:$A$874,"06/06/2025",'AT. MEDICAS 2024'!$I$9:$I$874,B151)</f>
        <v>0</v>
      </c>
      <c r="I151" s="30">
        <f>COUNTIFS('AT. MEDICAS 2024'!$A$9:$A$874,"07/06/2025",'AT. MEDICAS 2024'!$I$9:$I$874,B151)</f>
        <v>0</v>
      </c>
      <c r="J151" s="30">
        <f>COUNTIFS('AT. MEDICAS 2024'!$A$9:$A$874,"08/06/2025",'AT. MEDICAS 2024'!$I$9:$I$874,B151)</f>
        <v>0</v>
      </c>
      <c r="K151" s="30">
        <f>COUNTIFS('AT. MEDICAS 2024'!$A$9:$A$874,"09/06/2025",'AT. MEDICAS 2024'!$I$9:$I$874,B151)</f>
        <v>0</v>
      </c>
      <c r="L151" s="30">
        <f>COUNTIFS('AT. MEDICAS 2024'!$A$9:$A$874,"10/06/2025",'AT. MEDICAS 2024'!$I$9:$I$874,B151)</f>
        <v>0</v>
      </c>
      <c r="M151" s="30">
        <f>COUNTIFS('AT. MEDICAS 2024'!$A$9:$A$874,"11/06/2025",'AT. MEDICAS 2024'!$I$9:$I$874,B151)</f>
        <v>0</v>
      </c>
      <c r="N151" s="30">
        <f>COUNTIFS('AT. MEDICAS 2024'!$A$9:$A$874,"12/06/2025",'AT. MEDICAS 2024'!$I$9:$I$874,B151)</f>
        <v>0</v>
      </c>
      <c r="O151" s="30">
        <f>COUNTIFS('AT. MEDICAS 2024'!$A$9:$A$874,"13/06/2025",'AT. MEDICAS 2024'!$I$9:$I$874,B151)</f>
        <v>0</v>
      </c>
      <c r="P151" s="30">
        <f>COUNTIFS('AT. MEDICAS 2024'!$A$9:$A$874,"14/06/2025",'AT. MEDICAS 2024'!$I$9:$I$874,B151)</f>
        <v>0</v>
      </c>
      <c r="Q151" s="30">
        <f>COUNTIFS('AT. MEDICAS 2024'!$A$9:$A$874,"15/06/2025",'AT. MEDICAS 2024'!$I$9:$I$874,B151)</f>
        <v>0</v>
      </c>
      <c r="R151" s="30">
        <f>COUNTIFS('AT. MEDICAS 2024'!$A$9:$A$874,"16/06/2025",'AT. MEDICAS 2024'!$I$9:$I$874,B151)</f>
        <v>0</v>
      </c>
      <c r="S151" s="30">
        <f>COUNTIFS('AT. MEDICAS 2024'!$A$9:$A$874,"17/06/2025",'AT. MEDICAS 2024'!$I$9:$I$874,B151)</f>
        <v>0</v>
      </c>
      <c r="T151" s="30">
        <f>COUNTIFS('AT. MEDICAS 2024'!$A$9:$A$874,"18/06/2025",'AT. MEDICAS 2024'!$I$9:$I$874,B151)</f>
        <v>0</v>
      </c>
      <c r="U151" s="30">
        <f>COUNTIFS('AT. MEDICAS 2024'!$A$9:$A$874,"19/06/2025",'AT. MEDICAS 2024'!$I$9:$I$874,B151)</f>
        <v>0</v>
      </c>
      <c r="V151" s="30">
        <f>COUNTIFS('AT. MEDICAS 2024'!$A$9:$A$874,"20/06/2025",'AT. MEDICAS 2024'!$I$9:$I$874,B151)</f>
        <v>0</v>
      </c>
      <c r="W151" s="30">
        <f>COUNTIFS('AT. MEDICAS 2024'!$A$9:$A$874,"21/06/2025",'AT. MEDICAS 2024'!$I$9:$I$874,B151)</f>
        <v>0</v>
      </c>
      <c r="X151" s="30">
        <f>COUNTIFS('AT. MEDICAS 2024'!$A$9:$A$874,"22/06/2025",'AT. MEDICAS 2024'!$I$9:$I$874,B151)</f>
        <v>0</v>
      </c>
      <c r="Y151" s="30">
        <f>COUNTIFS('AT. MEDICAS 2024'!$A$9:$A$874,"23/06/2025",'AT. MEDICAS 2024'!$I$9:$I$874,B151)</f>
        <v>0</v>
      </c>
      <c r="Z151" s="30">
        <f>COUNTIFS('AT. MEDICAS 2024'!$A$9:$A$874,"24/06/2025",'AT. MEDICAS 2024'!$I$9:$I$874,B151)</f>
        <v>0</v>
      </c>
      <c r="AA151" s="30">
        <f>COUNTIFS('AT. MEDICAS 2024'!$A$9:$A$874,"25/06/2025",'AT. MEDICAS 2024'!$I$9:$I$874,B151)</f>
        <v>0</v>
      </c>
      <c r="AB151" s="30">
        <f>COUNTIFS('AT. MEDICAS 2024'!$A$9:$A$874,"26/06/2025",'AT. MEDICAS 2024'!$I$9:$I$874,B151)</f>
        <v>0</v>
      </c>
      <c r="AC151" s="30">
        <f>COUNTIFS('AT. MEDICAS 2024'!$A$9:$A$874,"27/06/2025",'AT. MEDICAS 2024'!$I$9:$I$874,B151)</f>
        <v>0</v>
      </c>
      <c r="AD151" s="30">
        <f>COUNTIFS('AT. MEDICAS 2024'!$A$9:$A$874,"28/06/2025",'AT. MEDICAS 2024'!$I$9:$I$874,B151)</f>
        <v>0</v>
      </c>
      <c r="AE151" s="30">
        <f>COUNTIFS('AT. MEDICAS 2024'!$A$9:$A$874,"29/06/2025",'AT. MEDICAS 2024'!$I$9:$I$874,B151)</f>
        <v>0</v>
      </c>
      <c r="AF151" s="30">
        <f>COUNTIFS('AT. MEDICAS 2024'!$A$9:$A$874,"30/06/2025",'AT. MEDICAS 2024'!$I$9:$I$874,B151)</f>
        <v>0</v>
      </c>
      <c r="AG151" s="30"/>
      <c r="AH151" s="55">
        <f t="shared" si="21"/>
        <v>0</v>
      </c>
    </row>
    <row r="152" spans="1:34" ht="13.8" thickBot="1" x14ac:dyDescent="0.3">
      <c r="A152" s="41">
        <v>17</v>
      </c>
      <c r="B152" s="54" t="s">
        <v>72</v>
      </c>
      <c r="C152" s="30">
        <f>COUNTIFS('AT. MEDICAS 2024'!$A$9:$A$874,"01/06/2025",'AT. MEDICAS 2024'!$I$9:$I$874,B152)</f>
        <v>0</v>
      </c>
      <c r="D152" s="30">
        <f>COUNTIFS('AT. MEDICAS 2024'!$A$9:$A$874,"02/06/2025",'AT. MEDICAS 2024'!$I$9:$I$874,B152)</f>
        <v>0</v>
      </c>
      <c r="E152" s="30">
        <f>COUNTIFS('AT. MEDICAS 2024'!$A$9:$A$874,"03/06/2025",'AT. MEDICAS 2024'!$I$9:$I$874,B152)</f>
        <v>0</v>
      </c>
      <c r="F152" s="30">
        <f>COUNTIFS('AT. MEDICAS 2024'!$A$9:$A$874,"04/06/2025",'AT. MEDICAS 2024'!$I$9:$I$874,B152)</f>
        <v>0</v>
      </c>
      <c r="G152" s="30">
        <f>COUNTIFS('AT. MEDICAS 2024'!$A$9:$A$874,"05/06/2025",'AT. MEDICAS 2024'!$I$9:$I$874,B152)</f>
        <v>0</v>
      </c>
      <c r="H152" s="30">
        <f>COUNTIFS('AT. MEDICAS 2024'!$A$9:$A$874,"06/06/2025",'AT. MEDICAS 2024'!$I$9:$I$874,B152)</f>
        <v>0</v>
      </c>
      <c r="I152" s="30">
        <f>COUNTIFS('AT. MEDICAS 2024'!$A$9:$A$874,"07/06/2025",'AT. MEDICAS 2024'!$I$9:$I$874,B152)</f>
        <v>0</v>
      </c>
      <c r="J152" s="30">
        <f>COUNTIFS('AT. MEDICAS 2024'!$A$9:$A$874,"08/06/2025",'AT. MEDICAS 2024'!$I$9:$I$874,B152)</f>
        <v>0</v>
      </c>
      <c r="K152" s="30">
        <f>COUNTIFS('AT. MEDICAS 2024'!$A$9:$A$874,"09/06/2025",'AT. MEDICAS 2024'!$I$9:$I$874,B152)</f>
        <v>0</v>
      </c>
      <c r="L152" s="30">
        <f>COUNTIFS('AT. MEDICAS 2024'!$A$9:$A$874,"10/06/2025",'AT. MEDICAS 2024'!$I$9:$I$874,B152)</f>
        <v>0</v>
      </c>
      <c r="M152" s="30">
        <f>COUNTIFS('AT. MEDICAS 2024'!$A$9:$A$874,"11/06/2025",'AT. MEDICAS 2024'!$I$9:$I$874,B152)</f>
        <v>0</v>
      </c>
      <c r="N152" s="30">
        <f>COUNTIFS('AT. MEDICAS 2024'!$A$9:$A$874,"12/06/2025",'AT. MEDICAS 2024'!$I$9:$I$874,B152)</f>
        <v>0</v>
      </c>
      <c r="O152" s="30">
        <f>COUNTIFS('AT. MEDICAS 2024'!$A$9:$A$874,"13/06/2025",'AT. MEDICAS 2024'!$I$9:$I$874,B152)</f>
        <v>0</v>
      </c>
      <c r="P152" s="30">
        <f>COUNTIFS('AT. MEDICAS 2024'!$A$9:$A$874,"14/06/2025",'AT. MEDICAS 2024'!$I$9:$I$874,B152)</f>
        <v>0</v>
      </c>
      <c r="Q152" s="30">
        <f>COUNTIFS('AT. MEDICAS 2024'!$A$9:$A$874,"15/06/2025",'AT. MEDICAS 2024'!$I$9:$I$874,B152)</f>
        <v>0</v>
      </c>
      <c r="R152" s="30">
        <f>COUNTIFS('AT. MEDICAS 2024'!$A$9:$A$874,"16/06/2025",'AT. MEDICAS 2024'!$I$9:$I$874,B152)</f>
        <v>0</v>
      </c>
      <c r="S152" s="30">
        <f>COUNTIFS('AT. MEDICAS 2024'!$A$9:$A$874,"17/06/2025",'AT. MEDICAS 2024'!$I$9:$I$874,B152)</f>
        <v>0</v>
      </c>
      <c r="T152" s="30">
        <f>COUNTIFS('AT. MEDICAS 2024'!$A$9:$A$874,"18/06/2025",'AT. MEDICAS 2024'!$I$9:$I$874,B152)</f>
        <v>0</v>
      </c>
      <c r="U152" s="30">
        <f>COUNTIFS('AT. MEDICAS 2024'!$A$9:$A$874,"19/06/2025",'AT. MEDICAS 2024'!$I$9:$I$874,B152)</f>
        <v>0</v>
      </c>
      <c r="V152" s="30">
        <f>COUNTIFS('AT. MEDICAS 2024'!$A$9:$A$874,"20/06/2025",'AT. MEDICAS 2024'!$I$9:$I$874,B152)</f>
        <v>0</v>
      </c>
      <c r="W152" s="30">
        <f>COUNTIFS('AT. MEDICAS 2024'!$A$9:$A$874,"21/06/2025",'AT. MEDICAS 2024'!$I$9:$I$874,B152)</f>
        <v>0</v>
      </c>
      <c r="X152" s="30">
        <f>COUNTIFS('AT. MEDICAS 2024'!$A$9:$A$874,"22/06/2025",'AT. MEDICAS 2024'!$I$9:$I$874,B152)</f>
        <v>0</v>
      </c>
      <c r="Y152" s="30">
        <f>COUNTIFS('AT. MEDICAS 2024'!$A$9:$A$874,"23/06/2025",'AT. MEDICAS 2024'!$I$9:$I$874,B152)</f>
        <v>0</v>
      </c>
      <c r="Z152" s="30">
        <f>COUNTIFS('AT. MEDICAS 2024'!$A$9:$A$874,"24/06/2025",'AT. MEDICAS 2024'!$I$9:$I$874,B152)</f>
        <v>0</v>
      </c>
      <c r="AA152" s="30">
        <f>COUNTIFS('AT. MEDICAS 2024'!$A$9:$A$874,"25/06/2025",'AT. MEDICAS 2024'!$I$9:$I$874,B152)</f>
        <v>0</v>
      </c>
      <c r="AB152" s="30">
        <f>COUNTIFS('AT. MEDICAS 2024'!$A$9:$A$874,"26/06/2025",'AT. MEDICAS 2024'!$I$9:$I$874,B152)</f>
        <v>0</v>
      </c>
      <c r="AC152" s="30">
        <f>COUNTIFS('AT. MEDICAS 2024'!$A$9:$A$874,"27/06/2025",'AT. MEDICAS 2024'!$I$9:$I$874,B152)</f>
        <v>0</v>
      </c>
      <c r="AD152" s="30">
        <f>COUNTIFS('AT. MEDICAS 2024'!$A$9:$A$874,"28/06/2025",'AT. MEDICAS 2024'!$I$9:$I$874,B152)</f>
        <v>0</v>
      </c>
      <c r="AE152" s="30">
        <f>COUNTIFS('AT. MEDICAS 2024'!$A$9:$A$874,"29/06/2025",'AT. MEDICAS 2024'!$I$9:$I$874,B152)</f>
        <v>0</v>
      </c>
      <c r="AF152" s="30">
        <f>COUNTIFS('AT. MEDICAS 2024'!$A$9:$A$874,"30/06/2025",'AT. MEDICAS 2024'!$I$9:$I$874,B152)</f>
        <v>0</v>
      </c>
      <c r="AG152" s="30"/>
      <c r="AH152" s="55">
        <f t="shared" si="21"/>
        <v>0</v>
      </c>
    </row>
    <row r="153" spans="1:34" ht="13.8" thickBot="1" x14ac:dyDescent="0.3">
      <c r="A153" s="41">
        <v>18</v>
      </c>
      <c r="B153" s="54" t="s">
        <v>190</v>
      </c>
      <c r="C153" s="30">
        <f>COUNTIFS('AT. MEDICAS 2024'!$A$9:$A$874,"01/06/2025",'AT. MEDICAS 2024'!$I$9:$I$874,B153)</f>
        <v>0</v>
      </c>
      <c r="D153" s="30">
        <f>COUNTIFS('AT. MEDICAS 2024'!$A$9:$A$874,"02/06/2025",'AT. MEDICAS 2024'!$I$9:$I$874,B153)</f>
        <v>0</v>
      </c>
      <c r="E153" s="30">
        <f>COUNTIFS('AT. MEDICAS 2024'!$A$9:$A$874,"03/06/2025",'AT. MEDICAS 2024'!$I$9:$I$874,B153)</f>
        <v>0</v>
      </c>
      <c r="F153" s="30">
        <f>COUNTIFS('AT. MEDICAS 2024'!$A$9:$A$874,"04/06/2025",'AT. MEDICAS 2024'!$I$9:$I$874,B153)</f>
        <v>0</v>
      </c>
      <c r="G153" s="30">
        <f>COUNTIFS('AT. MEDICAS 2024'!$A$9:$A$874,"05/06/2025",'AT. MEDICAS 2024'!$I$9:$I$874,B153)</f>
        <v>0</v>
      </c>
      <c r="H153" s="30">
        <f>COUNTIFS('AT. MEDICAS 2024'!$A$9:$A$874,"06/06/2025",'AT. MEDICAS 2024'!$I$9:$I$874,B153)</f>
        <v>0</v>
      </c>
      <c r="I153" s="30">
        <f>COUNTIFS('AT. MEDICAS 2024'!$A$9:$A$874,"07/06/2025",'AT. MEDICAS 2024'!$I$9:$I$874,B153)</f>
        <v>0</v>
      </c>
      <c r="J153" s="30">
        <f>COUNTIFS('AT. MEDICAS 2024'!$A$9:$A$874,"08/06/2025",'AT. MEDICAS 2024'!$I$9:$I$874,B153)</f>
        <v>0</v>
      </c>
      <c r="K153" s="30">
        <f>COUNTIFS('AT. MEDICAS 2024'!$A$9:$A$874,"09/06/2025",'AT. MEDICAS 2024'!$I$9:$I$874,B153)</f>
        <v>0</v>
      </c>
      <c r="L153" s="30">
        <f>COUNTIFS('AT. MEDICAS 2024'!$A$9:$A$874,"10/06/2025",'AT. MEDICAS 2024'!$I$9:$I$874,B153)</f>
        <v>0</v>
      </c>
      <c r="M153" s="30">
        <f>COUNTIFS('AT. MEDICAS 2024'!$A$9:$A$874,"11/06/2025",'AT. MEDICAS 2024'!$I$9:$I$874,B153)</f>
        <v>0</v>
      </c>
      <c r="N153" s="30">
        <f>COUNTIFS('AT. MEDICAS 2024'!$A$9:$A$874,"12/06/2025",'AT. MEDICAS 2024'!$I$9:$I$874,B153)</f>
        <v>0</v>
      </c>
      <c r="O153" s="30">
        <f>COUNTIFS('AT. MEDICAS 2024'!$A$9:$A$874,"13/06/2025",'AT. MEDICAS 2024'!$I$9:$I$874,B153)</f>
        <v>0</v>
      </c>
      <c r="P153" s="30">
        <f>COUNTIFS('AT. MEDICAS 2024'!$A$9:$A$874,"14/06/2025",'AT. MEDICAS 2024'!$I$9:$I$874,B153)</f>
        <v>0</v>
      </c>
      <c r="Q153" s="30">
        <f>COUNTIFS('AT. MEDICAS 2024'!$A$9:$A$874,"15/06/2025",'AT. MEDICAS 2024'!$I$9:$I$874,B153)</f>
        <v>0</v>
      </c>
      <c r="R153" s="30">
        <f>COUNTIFS('AT. MEDICAS 2024'!$A$9:$A$874,"16/06/2025",'AT. MEDICAS 2024'!$I$9:$I$874,B153)</f>
        <v>0</v>
      </c>
      <c r="S153" s="30">
        <f>COUNTIFS('AT. MEDICAS 2024'!$A$9:$A$874,"17/06/2025",'AT. MEDICAS 2024'!$I$9:$I$874,B153)</f>
        <v>0</v>
      </c>
      <c r="T153" s="30">
        <f>COUNTIFS('AT. MEDICAS 2024'!$A$9:$A$874,"18/06/2025",'AT. MEDICAS 2024'!$I$9:$I$874,B153)</f>
        <v>0</v>
      </c>
      <c r="U153" s="30">
        <f>COUNTIFS('AT. MEDICAS 2024'!$A$9:$A$874,"19/06/2025",'AT. MEDICAS 2024'!$I$9:$I$874,B153)</f>
        <v>0</v>
      </c>
      <c r="V153" s="30">
        <f>COUNTIFS('AT. MEDICAS 2024'!$A$9:$A$874,"20/06/2025",'AT. MEDICAS 2024'!$I$9:$I$874,B153)</f>
        <v>0</v>
      </c>
      <c r="W153" s="30">
        <f>COUNTIFS('AT. MEDICAS 2024'!$A$9:$A$874,"21/06/2025",'AT. MEDICAS 2024'!$I$9:$I$874,B153)</f>
        <v>0</v>
      </c>
      <c r="X153" s="30">
        <f>COUNTIFS('AT. MEDICAS 2024'!$A$9:$A$874,"22/06/2025",'AT. MEDICAS 2024'!$I$9:$I$874,B153)</f>
        <v>0</v>
      </c>
      <c r="Y153" s="30">
        <f>COUNTIFS('AT. MEDICAS 2024'!$A$9:$A$874,"23/06/2025",'AT. MEDICAS 2024'!$I$9:$I$874,B153)</f>
        <v>0</v>
      </c>
      <c r="Z153" s="30">
        <f>COUNTIFS('AT. MEDICAS 2024'!$A$9:$A$874,"24/06/2025",'AT. MEDICAS 2024'!$I$9:$I$874,B153)</f>
        <v>0</v>
      </c>
      <c r="AA153" s="30">
        <f>COUNTIFS('AT. MEDICAS 2024'!$A$9:$A$874,"25/06/2025",'AT. MEDICAS 2024'!$I$9:$I$874,B153)</f>
        <v>0</v>
      </c>
      <c r="AB153" s="30">
        <f>COUNTIFS('AT. MEDICAS 2024'!$A$9:$A$874,"26/06/2025",'AT. MEDICAS 2024'!$I$9:$I$874,B153)</f>
        <v>0</v>
      </c>
      <c r="AC153" s="30">
        <f>COUNTIFS('AT. MEDICAS 2024'!$A$9:$A$874,"27/06/2025",'AT. MEDICAS 2024'!$I$9:$I$874,B153)</f>
        <v>0</v>
      </c>
      <c r="AD153" s="30">
        <f>COUNTIFS('AT. MEDICAS 2024'!$A$9:$A$874,"28/06/2025",'AT. MEDICAS 2024'!$I$9:$I$874,B153)</f>
        <v>0</v>
      </c>
      <c r="AE153" s="30">
        <f>COUNTIFS('AT. MEDICAS 2024'!$A$9:$A$874,"29/06/2025",'AT. MEDICAS 2024'!$I$9:$I$874,B153)</f>
        <v>0</v>
      </c>
      <c r="AF153" s="30">
        <f>COUNTIFS('AT. MEDICAS 2024'!$A$9:$A$874,"30/06/2025",'AT. MEDICAS 2024'!$I$9:$I$874,B153)</f>
        <v>0</v>
      </c>
      <c r="AG153" s="30"/>
      <c r="AH153" s="55">
        <f t="shared" si="21"/>
        <v>0</v>
      </c>
    </row>
    <row r="154" spans="1:34" ht="13.8" thickBot="1" x14ac:dyDescent="0.3">
      <c r="A154" s="41">
        <v>19</v>
      </c>
      <c r="B154" s="54" t="s">
        <v>118</v>
      </c>
      <c r="C154" s="30">
        <f>COUNTIFS('AT. MEDICAS 2024'!$A$9:$A$874,"01/06/2025",'AT. MEDICAS 2024'!$I$9:$I$874,B154)</f>
        <v>0</v>
      </c>
      <c r="D154" s="30">
        <f>COUNTIFS('AT. MEDICAS 2024'!$A$9:$A$874,"02/06/2025",'AT. MEDICAS 2024'!$I$9:$I$874,B154)</f>
        <v>0</v>
      </c>
      <c r="E154" s="30">
        <f>COUNTIFS('AT. MEDICAS 2024'!$A$9:$A$874,"03/06/2025",'AT. MEDICAS 2024'!$I$9:$I$874,B154)</f>
        <v>0</v>
      </c>
      <c r="F154" s="30">
        <f>COUNTIFS('AT. MEDICAS 2024'!$A$9:$A$874,"04/06/2025",'AT. MEDICAS 2024'!$I$9:$I$874,B154)</f>
        <v>0</v>
      </c>
      <c r="G154" s="30">
        <f>COUNTIFS('AT. MEDICAS 2024'!$A$9:$A$874,"05/06/2025",'AT. MEDICAS 2024'!$I$9:$I$874,B154)</f>
        <v>0</v>
      </c>
      <c r="H154" s="30">
        <f>COUNTIFS('AT. MEDICAS 2024'!$A$9:$A$874,"06/06/2025",'AT. MEDICAS 2024'!$I$9:$I$874,B154)</f>
        <v>0</v>
      </c>
      <c r="I154" s="30">
        <f>COUNTIFS('AT. MEDICAS 2024'!$A$9:$A$874,"07/06/2025",'AT. MEDICAS 2024'!$I$9:$I$874,B154)</f>
        <v>0</v>
      </c>
      <c r="J154" s="30">
        <f>COUNTIFS('AT. MEDICAS 2024'!$A$9:$A$874,"08/06/2025",'AT. MEDICAS 2024'!$I$9:$I$874,B154)</f>
        <v>0</v>
      </c>
      <c r="K154" s="30">
        <f>COUNTIFS('AT. MEDICAS 2024'!$A$9:$A$874,"09/06/2025",'AT. MEDICAS 2024'!$I$9:$I$874,B154)</f>
        <v>0</v>
      </c>
      <c r="L154" s="30">
        <f>COUNTIFS('AT. MEDICAS 2024'!$A$9:$A$874,"10/06/2025",'AT. MEDICAS 2024'!$I$9:$I$874,B154)</f>
        <v>0</v>
      </c>
      <c r="M154" s="30">
        <f>COUNTIFS('AT. MEDICAS 2024'!$A$9:$A$874,"11/06/2025",'AT. MEDICAS 2024'!$I$9:$I$874,B154)</f>
        <v>0</v>
      </c>
      <c r="N154" s="30">
        <f>COUNTIFS('AT. MEDICAS 2024'!$A$9:$A$874,"12/06/2025",'AT. MEDICAS 2024'!$I$9:$I$874,B154)</f>
        <v>0</v>
      </c>
      <c r="O154" s="30">
        <f>COUNTIFS('AT. MEDICAS 2024'!$A$9:$A$874,"13/06/2025",'AT. MEDICAS 2024'!$I$9:$I$874,B154)</f>
        <v>0</v>
      </c>
      <c r="P154" s="30">
        <f>COUNTIFS('AT. MEDICAS 2024'!$A$9:$A$874,"14/06/2025",'AT. MEDICAS 2024'!$I$9:$I$874,B154)</f>
        <v>0</v>
      </c>
      <c r="Q154" s="30">
        <f>COUNTIFS('AT. MEDICAS 2024'!$A$9:$A$874,"15/06/2025",'AT. MEDICAS 2024'!$I$9:$I$874,B154)</f>
        <v>0</v>
      </c>
      <c r="R154" s="30">
        <f>COUNTIFS('AT. MEDICAS 2024'!$A$9:$A$874,"16/06/2025",'AT. MEDICAS 2024'!$I$9:$I$874,B154)</f>
        <v>0</v>
      </c>
      <c r="S154" s="30">
        <f>COUNTIFS('AT. MEDICAS 2024'!$A$9:$A$874,"17/06/2025",'AT. MEDICAS 2024'!$I$9:$I$874,B154)</f>
        <v>0</v>
      </c>
      <c r="T154" s="30">
        <f>COUNTIFS('AT. MEDICAS 2024'!$A$9:$A$874,"18/06/2025",'AT. MEDICAS 2024'!$I$9:$I$874,B154)</f>
        <v>0</v>
      </c>
      <c r="U154" s="30">
        <f>COUNTIFS('AT. MEDICAS 2024'!$A$9:$A$874,"19/06/2025",'AT. MEDICAS 2024'!$I$9:$I$874,B154)</f>
        <v>0</v>
      </c>
      <c r="V154" s="30">
        <f>COUNTIFS('AT. MEDICAS 2024'!$A$9:$A$874,"20/06/2025",'AT. MEDICAS 2024'!$I$9:$I$874,B154)</f>
        <v>0</v>
      </c>
      <c r="W154" s="30">
        <f>COUNTIFS('AT. MEDICAS 2024'!$A$9:$A$874,"21/06/2025",'AT. MEDICAS 2024'!$I$9:$I$874,B154)</f>
        <v>0</v>
      </c>
      <c r="X154" s="30">
        <f>COUNTIFS('AT. MEDICAS 2024'!$A$9:$A$874,"22/06/2025",'AT. MEDICAS 2024'!$I$9:$I$874,B154)</f>
        <v>0</v>
      </c>
      <c r="Y154" s="30">
        <f>COUNTIFS('AT. MEDICAS 2024'!$A$9:$A$874,"23/06/2025",'AT. MEDICAS 2024'!$I$9:$I$874,B154)</f>
        <v>0</v>
      </c>
      <c r="Z154" s="30">
        <f>COUNTIFS('AT. MEDICAS 2024'!$A$9:$A$874,"24/06/2025",'AT. MEDICAS 2024'!$I$9:$I$874,B154)</f>
        <v>0</v>
      </c>
      <c r="AA154" s="30">
        <f>COUNTIFS('AT. MEDICAS 2024'!$A$9:$A$874,"25/06/2025",'AT. MEDICAS 2024'!$I$9:$I$874,B154)</f>
        <v>0</v>
      </c>
      <c r="AB154" s="30">
        <f>COUNTIFS('AT. MEDICAS 2024'!$A$9:$A$874,"26/06/2025",'AT. MEDICAS 2024'!$I$9:$I$874,B154)</f>
        <v>0</v>
      </c>
      <c r="AC154" s="30">
        <f>COUNTIFS('AT. MEDICAS 2024'!$A$9:$A$874,"27/06/2025",'AT. MEDICAS 2024'!$I$9:$I$874,B154)</f>
        <v>0</v>
      </c>
      <c r="AD154" s="30">
        <f>COUNTIFS('AT. MEDICAS 2024'!$A$9:$A$874,"28/06/2025",'AT. MEDICAS 2024'!$I$9:$I$874,B154)</f>
        <v>0</v>
      </c>
      <c r="AE154" s="30">
        <f>COUNTIFS('AT. MEDICAS 2024'!$A$9:$A$874,"29/06/2025",'AT. MEDICAS 2024'!$I$9:$I$874,B154)</f>
        <v>0</v>
      </c>
      <c r="AF154" s="30">
        <f>COUNTIFS('AT. MEDICAS 2024'!$A$9:$A$874,"30/06/2025",'AT. MEDICAS 2024'!$I$9:$I$874,B154)</f>
        <v>0</v>
      </c>
      <c r="AG154" s="30"/>
      <c r="AH154" s="55">
        <f t="shared" si="21"/>
        <v>0</v>
      </c>
    </row>
    <row r="155" spans="1:34" ht="13.8" thickBot="1" x14ac:dyDescent="0.3">
      <c r="A155" s="41">
        <v>20</v>
      </c>
      <c r="B155" s="54" t="s">
        <v>31</v>
      </c>
      <c r="C155" s="30">
        <f>COUNTIFS('AT. MEDICAS 2024'!$A$9:$A$874,"01/06/2025",'AT. MEDICAS 2024'!$I$9:$I$874,B155)</f>
        <v>0</v>
      </c>
      <c r="D155" s="30">
        <f>COUNTIFS('AT. MEDICAS 2024'!$A$9:$A$874,"02/06/2025",'AT. MEDICAS 2024'!$I$9:$I$874,B155)</f>
        <v>0</v>
      </c>
      <c r="E155" s="30">
        <f>COUNTIFS('AT. MEDICAS 2024'!$A$9:$A$874,"03/06/2025",'AT. MEDICAS 2024'!$I$9:$I$874,B155)</f>
        <v>0</v>
      </c>
      <c r="F155" s="30">
        <f>COUNTIFS('AT. MEDICAS 2024'!$A$9:$A$874,"04/06/2025",'AT. MEDICAS 2024'!$I$9:$I$874,B155)</f>
        <v>0</v>
      </c>
      <c r="G155" s="30">
        <f>COUNTIFS('AT. MEDICAS 2024'!$A$9:$A$874,"05/06/2025",'AT. MEDICAS 2024'!$I$9:$I$874,B155)</f>
        <v>0</v>
      </c>
      <c r="H155" s="30">
        <f>COUNTIFS('AT. MEDICAS 2024'!$A$9:$A$874,"06/06/2025",'AT. MEDICAS 2024'!$I$9:$I$874,B155)</f>
        <v>0</v>
      </c>
      <c r="I155" s="30">
        <f>COUNTIFS('AT. MEDICAS 2024'!$A$9:$A$874,"07/06/2025",'AT. MEDICAS 2024'!$I$9:$I$874,B155)</f>
        <v>0</v>
      </c>
      <c r="J155" s="30">
        <f>COUNTIFS('AT. MEDICAS 2024'!$A$9:$A$874,"08/06/2025",'AT. MEDICAS 2024'!$I$9:$I$874,B155)</f>
        <v>0</v>
      </c>
      <c r="K155" s="30">
        <f>COUNTIFS('AT. MEDICAS 2024'!$A$9:$A$874,"09/06/2025",'AT. MEDICAS 2024'!$I$9:$I$874,B155)</f>
        <v>0</v>
      </c>
      <c r="L155" s="30">
        <f>COUNTIFS('AT. MEDICAS 2024'!$A$9:$A$874,"10/06/2025",'AT. MEDICAS 2024'!$I$9:$I$874,B155)</f>
        <v>0</v>
      </c>
      <c r="M155" s="30">
        <f>COUNTIFS('AT. MEDICAS 2024'!$A$9:$A$874,"11/06/2025",'AT. MEDICAS 2024'!$I$9:$I$874,B155)</f>
        <v>0</v>
      </c>
      <c r="N155" s="30">
        <f>COUNTIFS('AT. MEDICAS 2024'!$A$9:$A$874,"12/06/2025",'AT. MEDICAS 2024'!$I$9:$I$874,B155)</f>
        <v>0</v>
      </c>
      <c r="O155" s="30">
        <f>COUNTIFS('AT. MEDICAS 2024'!$A$9:$A$874,"13/06/2025",'AT. MEDICAS 2024'!$I$9:$I$874,B155)</f>
        <v>0</v>
      </c>
      <c r="P155" s="30">
        <f>COUNTIFS('AT. MEDICAS 2024'!$A$9:$A$874,"14/06/2025",'AT. MEDICAS 2024'!$I$9:$I$874,B155)</f>
        <v>0</v>
      </c>
      <c r="Q155" s="30">
        <f>COUNTIFS('AT. MEDICAS 2024'!$A$9:$A$874,"15/06/2025",'AT. MEDICAS 2024'!$I$9:$I$874,B155)</f>
        <v>0</v>
      </c>
      <c r="R155" s="30">
        <f>COUNTIFS('AT. MEDICAS 2024'!$A$9:$A$874,"16/06/2025",'AT. MEDICAS 2024'!$I$9:$I$874,B155)</f>
        <v>0</v>
      </c>
      <c r="S155" s="30">
        <f>COUNTIFS('AT. MEDICAS 2024'!$A$9:$A$874,"17/06/2025",'AT. MEDICAS 2024'!$I$9:$I$874,B155)</f>
        <v>0</v>
      </c>
      <c r="T155" s="30">
        <f>COUNTIFS('AT. MEDICAS 2024'!$A$9:$A$874,"18/06/2025",'AT. MEDICAS 2024'!$I$9:$I$874,B155)</f>
        <v>0</v>
      </c>
      <c r="U155" s="30">
        <f>COUNTIFS('AT. MEDICAS 2024'!$A$9:$A$874,"19/06/2025",'AT. MEDICAS 2024'!$I$9:$I$874,B155)</f>
        <v>0</v>
      </c>
      <c r="V155" s="30">
        <f>COUNTIFS('AT. MEDICAS 2024'!$A$9:$A$874,"20/06/2025",'AT. MEDICAS 2024'!$I$9:$I$874,B155)</f>
        <v>0</v>
      </c>
      <c r="W155" s="30">
        <f>COUNTIFS('AT. MEDICAS 2024'!$A$9:$A$874,"21/06/2025",'AT. MEDICAS 2024'!$I$9:$I$874,B155)</f>
        <v>0</v>
      </c>
      <c r="X155" s="30">
        <f>COUNTIFS('AT. MEDICAS 2024'!$A$9:$A$874,"22/06/2025",'AT. MEDICAS 2024'!$I$9:$I$874,B155)</f>
        <v>0</v>
      </c>
      <c r="Y155" s="30">
        <f>COUNTIFS('AT. MEDICAS 2024'!$A$9:$A$874,"23/06/2025",'AT. MEDICAS 2024'!$I$9:$I$874,B155)</f>
        <v>0</v>
      </c>
      <c r="Z155" s="30">
        <f>COUNTIFS('AT. MEDICAS 2024'!$A$9:$A$874,"24/06/2025",'AT. MEDICAS 2024'!$I$9:$I$874,B155)</f>
        <v>0</v>
      </c>
      <c r="AA155" s="30">
        <f>COUNTIFS('AT. MEDICAS 2024'!$A$9:$A$874,"25/06/2025",'AT. MEDICAS 2024'!$I$9:$I$874,B155)</f>
        <v>0</v>
      </c>
      <c r="AB155" s="30">
        <f>COUNTIFS('AT. MEDICAS 2024'!$A$9:$A$874,"26/06/2025",'AT. MEDICAS 2024'!$I$9:$I$874,B155)</f>
        <v>0</v>
      </c>
      <c r="AC155" s="30">
        <f>COUNTIFS('AT. MEDICAS 2024'!$A$9:$A$874,"27/06/2025",'AT. MEDICAS 2024'!$I$9:$I$874,B155)</f>
        <v>0</v>
      </c>
      <c r="AD155" s="30">
        <f>COUNTIFS('AT. MEDICAS 2024'!$A$9:$A$874,"28/06/2025",'AT. MEDICAS 2024'!$I$9:$I$874,B155)</f>
        <v>0</v>
      </c>
      <c r="AE155" s="30">
        <f>COUNTIFS('AT. MEDICAS 2024'!$A$9:$A$874,"29/06/2025",'AT. MEDICAS 2024'!$I$9:$I$874,B155)</f>
        <v>0</v>
      </c>
      <c r="AF155" s="30">
        <f>COUNTIFS('AT. MEDICAS 2024'!$A$9:$A$874,"30/06/2025",'AT. MEDICAS 2024'!$I$9:$I$874,B155)</f>
        <v>0</v>
      </c>
      <c r="AG155" s="30"/>
      <c r="AH155" s="55">
        <f t="shared" si="21"/>
        <v>0</v>
      </c>
    </row>
    <row r="156" spans="1:34" ht="18.600000000000001" customHeight="1" thickBot="1" x14ac:dyDescent="0.3">
      <c r="A156" s="92"/>
      <c r="B156" s="93"/>
      <c r="C156" s="55">
        <f>SUM(C136:C155)</f>
        <v>0</v>
      </c>
      <c r="D156" s="55">
        <f t="shared" ref="D156:AE156" si="22">SUM(D136:D155)</f>
        <v>0</v>
      </c>
      <c r="E156" s="55">
        <f t="shared" si="22"/>
        <v>0</v>
      </c>
      <c r="F156" s="55">
        <f t="shared" si="22"/>
        <v>0</v>
      </c>
      <c r="G156" s="55">
        <f t="shared" si="22"/>
        <v>0</v>
      </c>
      <c r="H156" s="55">
        <f t="shared" si="22"/>
        <v>0</v>
      </c>
      <c r="I156" s="55">
        <f t="shared" si="22"/>
        <v>0</v>
      </c>
      <c r="J156" s="55">
        <f t="shared" si="22"/>
        <v>0</v>
      </c>
      <c r="K156" s="55">
        <f t="shared" si="22"/>
        <v>0</v>
      </c>
      <c r="L156" s="55">
        <f t="shared" si="22"/>
        <v>0</v>
      </c>
      <c r="M156" s="55">
        <f t="shared" si="22"/>
        <v>0</v>
      </c>
      <c r="N156" s="55">
        <f t="shared" si="22"/>
        <v>0</v>
      </c>
      <c r="O156" s="55">
        <f t="shared" si="22"/>
        <v>0</v>
      </c>
      <c r="P156" s="55">
        <f t="shared" si="22"/>
        <v>0</v>
      </c>
      <c r="Q156" s="55">
        <f t="shared" si="22"/>
        <v>0</v>
      </c>
      <c r="R156" s="55">
        <f t="shared" si="22"/>
        <v>0</v>
      </c>
      <c r="S156" s="55">
        <f t="shared" si="22"/>
        <v>0</v>
      </c>
      <c r="T156" s="55">
        <f t="shared" si="22"/>
        <v>0</v>
      </c>
      <c r="U156" s="55">
        <f t="shared" si="22"/>
        <v>0</v>
      </c>
      <c r="V156" s="55">
        <f t="shared" si="22"/>
        <v>0</v>
      </c>
      <c r="W156" s="55">
        <f t="shared" si="22"/>
        <v>0</v>
      </c>
      <c r="X156" s="55">
        <f t="shared" si="22"/>
        <v>0</v>
      </c>
      <c r="Y156" s="55">
        <f t="shared" si="22"/>
        <v>0</v>
      </c>
      <c r="Z156" s="55">
        <f t="shared" si="22"/>
        <v>0</v>
      </c>
      <c r="AA156" s="55">
        <f t="shared" si="22"/>
        <v>0</v>
      </c>
      <c r="AB156" s="55">
        <f t="shared" si="22"/>
        <v>0</v>
      </c>
      <c r="AC156" s="55">
        <f t="shared" si="22"/>
        <v>0</v>
      </c>
      <c r="AD156" s="55">
        <f t="shared" si="22"/>
        <v>0</v>
      </c>
      <c r="AE156" s="55">
        <f t="shared" si="22"/>
        <v>0</v>
      </c>
      <c r="AF156" s="55">
        <f>SUM(AF136:AF155)</f>
        <v>0</v>
      </c>
      <c r="AG156" s="55">
        <f>SUM(AG136:AG155)</f>
        <v>0</v>
      </c>
      <c r="AH156" s="30">
        <f>SUM(AH136:AH155)</f>
        <v>0</v>
      </c>
    </row>
    <row r="158" spans="1:34" ht="33.6" customHeight="1" x14ac:dyDescent="0.25">
      <c r="A158" s="92" t="s">
        <v>174</v>
      </c>
      <c r="B158" s="93"/>
      <c r="C158" s="111">
        <v>45839</v>
      </c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3" t="s">
        <v>178</v>
      </c>
    </row>
    <row r="159" spans="1:34" ht="13.8" thickBot="1" x14ac:dyDescent="0.3">
      <c r="A159" s="115" t="s">
        <v>175</v>
      </c>
      <c r="B159" s="115" t="s">
        <v>176</v>
      </c>
      <c r="C159" s="45">
        <v>1</v>
      </c>
      <c r="D159" s="45">
        <v>2</v>
      </c>
      <c r="E159" s="45">
        <v>3</v>
      </c>
      <c r="F159" s="45">
        <v>4</v>
      </c>
      <c r="G159" s="45">
        <v>5</v>
      </c>
      <c r="H159" s="45">
        <v>6</v>
      </c>
      <c r="I159" s="45">
        <v>7</v>
      </c>
      <c r="J159" s="45">
        <v>8</v>
      </c>
      <c r="K159" s="45">
        <v>9</v>
      </c>
      <c r="L159" s="45">
        <v>10</v>
      </c>
      <c r="M159" s="45">
        <v>11</v>
      </c>
      <c r="N159" s="45">
        <v>12</v>
      </c>
      <c r="O159" s="45">
        <v>13</v>
      </c>
      <c r="P159" s="45">
        <v>14</v>
      </c>
      <c r="Q159" s="45">
        <v>15</v>
      </c>
      <c r="R159" s="45">
        <v>16</v>
      </c>
      <c r="S159" s="45">
        <v>17</v>
      </c>
      <c r="T159" s="45">
        <v>18</v>
      </c>
      <c r="U159" s="45">
        <v>19</v>
      </c>
      <c r="V159" s="45">
        <v>20</v>
      </c>
      <c r="W159" s="45">
        <v>21</v>
      </c>
      <c r="X159" s="45">
        <v>22</v>
      </c>
      <c r="Y159" s="45">
        <v>23</v>
      </c>
      <c r="Z159" s="45">
        <v>24</v>
      </c>
      <c r="AA159" s="45">
        <v>25</v>
      </c>
      <c r="AB159" s="45">
        <v>26</v>
      </c>
      <c r="AC159" s="45">
        <v>27</v>
      </c>
      <c r="AD159" s="45">
        <v>28</v>
      </c>
      <c r="AE159" s="45">
        <v>29</v>
      </c>
      <c r="AF159" s="45">
        <v>30</v>
      </c>
      <c r="AG159" s="45" t="s">
        <v>177</v>
      </c>
      <c r="AH159" s="114"/>
    </row>
    <row r="160" spans="1:34" ht="13.8" thickBot="1" x14ac:dyDescent="0.3">
      <c r="A160" s="116"/>
      <c r="B160" s="116"/>
      <c r="C160" s="28" t="s">
        <v>24</v>
      </c>
      <c r="D160" s="28" t="s">
        <v>24</v>
      </c>
      <c r="E160" s="28" t="s">
        <v>180</v>
      </c>
      <c r="F160" s="28" t="s">
        <v>181</v>
      </c>
      <c r="G160" s="28" t="s">
        <v>182</v>
      </c>
      <c r="H160" s="28" t="s">
        <v>183</v>
      </c>
      <c r="I160" s="28" t="s">
        <v>179</v>
      </c>
      <c r="J160" s="28" t="s">
        <v>24</v>
      </c>
      <c r="K160" s="28" t="s">
        <v>24</v>
      </c>
      <c r="L160" s="28" t="s">
        <v>180</v>
      </c>
      <c r="M160" s="28" t="s">
        <v>181</v>
      </c>
      <c r="N160" s="28" t="s">
        <v>182</v>
      </c>
      <c r="O160" s="28" t="s">
        <v>183</v>
      </c>
      <c r="P160" s="28" t="s">
        <v>179</v>
      </c>
      <c r="Q160" s="28" t="s">
        <v>24</v>
      </c>
      <c r="R160" s="28" t="s">
        <v>24</v>
      </c>
      <c r="S160" s="28" t="s">
        <v>180</v>
      </c>
      <c r="T160" s="28" t="s">
        <v>181</v>
      </c>
      <c r="U160" s="28" t="s">
        <v>182</v>
      </c>
      <c r="V160" s="28" t="s">
        <v>183</v>
      </c>
      <c r="W160" s="28" t="s">
        <v>179</v>
      </c>
      <c r="X160" s="28" t="s">
        <v>24</v>
      </c>
      <c r="Y160" s="28" t="s">
        <v>24</v>
      </c>
      <c r="Z160" s="28" t="s">
        <v>180</v>
      </c>
      <c r="AA160" s="28" t="s">
        <v>181</v>
      </c>
      <c r="AB160" s="28" t="s">
        <v>182</v>
      </c>
      <c r="AC160" s="28" t="s">
        <v>183</v>
      </c>
      <c r="AD160" s="28" t="s">
        <v>179</v>
      </c>
      <c r="AE160" s="28" t="s">
        <v>24</v>
      </c>
      <c r="AF160" s="28" t="s">
        <v>24</v>
      </c>
      <c r="AG160" s="28" t="s">
        <v>180</v>
      </c>
      <c r="AH160" s="17" t="s">
        <v>184</v>
      </c>
    </row>
    <row r="161" spans="1:34" ht="13.8" thickBot="1" x14ac:dyDescent="0.3">
      <c r="A161" s="41">
        <v>1</v>
      </c>
      <c r="B161" s="54" t="s">
        <v>185</v>
      </c>
      <c r="C161" s="30">
        <f>COUNTIFS('AT. MEDICAS 2024'!$A$9:$A$874,"01/07/2025",'AT. MEDICAS 2024'!$I$9:$I$874,B161)</f>
        <v>0</v>
      </c>
      <c r="D161" s="30">
        <f>COUNTIFS('AT. MEDICAS 2024'!$A$9:$A$874,"02/07/2025",'AT. MEDICAS 2024'!$I$9:$I$874,B161)</f>
        <v>0</v>
      </c>
      <c r="E161" s="30">
        <f>COUNTIFS('AT. MEDICAS 2024'!$A$9:$A$874,"03/07/2025",'AT. MEDICAS 2024'!$I$9:$I$874,B161)</f>
        <v>0</v>
      </c>
      <c r="F161" s="30">
        <f>COUNTIFS('AT. MEDICAS 2024'!$A$9:$A$874,"04/07/2025",'AT. MEDICAS 2024'!$I$9:$I$874,B161)</f>
        <v>0</v>
      </c>
      <c r="G161" s="30">
        <f>COUNTIFS('AT. MEDICAS 2024'!$A$9:$A$874,"05/07/2025",'AT. MEDICAS 2024'!$I$9:$I$874,B161)</f>
        <v>0</v>
      </c>
      <c r="H161" s="30">
        <f>COUNTIFS('AT. MEDICAS 2024'!$A$9:$A$874,"06/07/2025",'AT. MEDICAS 2024'!$I$9:$I$874,B161)</f>
        <v>0</v>
      </c>
      <c r="I161" s="30">
        <f>COUNTIFS('AT. MEDICAS 2024'!$A$9:$A$874,"07/07/2025",'AT. MEDICAS 2024'!$I$9:$I$874,B161)</f>
        <v>0</v>
      </c>
      <c r="J161" s="30">
        <f>COUNTIFS('AT. MEDICAS 2024'!$A$9:$A$874,"08/07/2025",'AT. MEDICAS 2024'!$I$9:$I$874,B161)</f>
        <v>0</v>
      </c>
      <c r="K161" s="30">
        <f>COUNTIFS('AT. MEDICAS 2024'!$A$9:$A$874,"09/07/2025",'AT. MEDICAS 2024'!$I$9:$I$874,B161)</f>
        <v>0</v>
      </c>
      <c r="L161" s="30">
        <f>COUNTIFS('AT. MEDICAS 2024'!$A$9:$A$874,"10/07/2025",'AT. MEDICAS 2024'!$I$9:$I$874,B161)</f>
        <v>0</v>
      </c>
      <c r="M161" s="30">
        <f>COUNTIFS('AT. MEDICAS 2024'!$A$9:$A$874,"11/07/2025",'AT. MEDICAS 2024'!$I$9:$I$874,B161)</f>
        <v>0</v>
      </c>
      <c r="N161" s="30">
        <f>COUNTIFS('AT. MEDICAS 2024'!$A$9:$A$874,"12/07/2025",'AT. MEDICAS 2024'!$I$9:$I$874,B161)</f>
        <v>0</v>
      </c>
      <c r="O161" s="30">
        <f>COUNTIFS('AT. MEDICAS 2024'!$A$9:$A$874,"13/07/2025",'AT. MEDICAS 2024'!$I$9:$I$874,B161)</f>
        <v>0</v>
      </c>
      <c r="P161" s="30">
        <f>COUNTIFS('AT. MEDICAS 2024'!$A$9:$A$874,"14/07/2025",'AT. MEDICAS 2024'!$I$9:$I$874,B161)</f>
        <v>0</v>
      </c>
      <c r="Q161" s="30">
        <f>COUNTIFS('AT. MEDICAS 2024'!$A$9:$A$874,"15/07/2025",'AT. MEDICAS 2024'!$I$9:$I$874,B161)</f>
        <v>0</v>
      </c>
      <c r="R161" s="30">
        <f>COUNTIFS('AT. MEDICAS 2024'!$A$9:$A$874,"16/07/2025",'AT. MEDICAS 2024'!$I$9:$I$874,B161)</f>
        <v>0</v>
      </c>
      <c r="S161" s="30">
        <f>COUNTIFS('AT. MEDICAS 2024'!$A$9:$A$874,"17/07/2025",'AT. MEDICAS 2024'!$I$9:$I$874,B161)</f>
        <v>0</v>
      </c>
      <c r="T161" s="30">
        <f>COUNTIFS('AT. MEDICAS 2024'!$A$9:$A$874,"18/07/2025",'AT. MEDICAS 2024'!$I$9:$I$874,B161)</f>
        <v>0</v>
      </c>
      <c r="U161" s="30">
        <f>COUNTIFS('AT. MEDICAS 2024'!$A$9:$A$874,"19/07/2025",'AT. MEDICAS 2024'!$I$9:$I$874,B161)</f>
        <v>0</v>
      </c>
      <c r="V161" s="30">
        <f>COUNTIFS('AT. MEDICAS 2024'!$A$9:$A$874,"20/07/2025",'AT. MEDICAS 2024'!$I$9:$I$874,B161)</f>
        <v>0</v>
      </c>
      <c r="W161" s="30">
        <f>COUNTIFS('AT. MEDICAS 2024'!$A$9:$A$874,"21/07/2025",'AT. MEDICAS 2024'!$I$9:$I$874,B161)</f>
        <v>0</v>
      </c>
      <c r="X161" s="30">
        <f>COUNTIFS('AT. MEDICAS 2024'!$A$9:$A$874,"22/07/2025",'AT. MEDICAS 2024'!$I$9:$I$874,B161)</f>
        <v>0</v>
      </c>
      <c r="Y161" s="30">
        <f>COUNTIFS('AT. MEDICAS 2024'!$A$9:$A$874,"23/07/2025",'AT. MEDICAS 2024'!$I$9:$I$874,B161)</f>
        <v>0</v>
      </c>
      <c r="Z161" s="30">
        <f>COUNTIFS('AT. MEDICAS 2024'!$A$9:$A$874,"24/07/2025",'AT. MEDICAS 2024'!$I$9:$I$874,B161)</f>
        <v>0</v>
      </c>
      <c r="AA161" s="30">
        <f>COUNTIFS('AT. MEDICAS 2024'!$A$9:$A$874,"25/07/2025",'AT. MEDICAS 2024'!$I$9:$I$874,B161)</f>
        <v>0</v>
      </c>
      <c r="AB161" s="30">
        <f>COUNTIFS('AT. MEDICAS 2024'!$A$9:$A$874,"26/07/2025",'AT. MEDICAS 2024'!$I$9:$I$874,B161)</f>
        <v>0</v>
      </c>
      <c r="AC161" s="30">
        <f>COUNTIFS('AT. MEDICAS 2024'!$A$9:$A$874,"27/07/2025",'AT. MEDICAS 2024'!$I$9:$I$874,B161)</f>
        <v>0</v>
      </c>
      <c r="AD161" s="30">
        <f>COUNTIFS('AT. MEDICAS 2024'!$A$9:$A$874,"28/07/2025",'AT. MEDICAS 2024'!$I$9:$I$874,B161)</f>
        <v>0</v>
      </c>
      <c r="AE161" s="30">
        <f>COUNTIFS('AT. MEDICAS 2024'!$A$9:$A$874,"29/07/2025",'AT. MEDICAS 2024'!$I$9:$I$874,B161)</f>
        <v>0</v>
      </c>
      <c r="AF161" s="30">
        <f>COUNTIFS('AT. MEDICAS 2024'!$A$9:$A$874,"30/07/2025",'AT. MEDICAS 2024'!$I$9:$I$874,B161)</f>
        <v>0</v>
      </c>
      <c r="AG161" s="30">
        <f>COUNTIFS('AT. MEDICAS 2024'!$A$9:$A$874,"31/07/2025",'AT. MEDICAS 2024'!$I$9:$I$874,B161)</f>
        <v>0</v>
      </c>
      <c r="AH161" s="55">
        <f t="shared" ref="AH161:AH180" si="23">SUM(C161:AG161)</f>
        <v>0</v>
      </c>
    </row>
    <row r="162" spans="1:34" ht="13.8" thickBot="1" x14ac:dyDescent="0.3">
      <c r="A162" s="41">
        <v>2</v>
      </c>
      <c r="B162" s="54" t="s">
        <v>186</v>
      </c>
      <c r="C162" s="30">
        <f>COUNTIFS('AT. MEDICAS 2024'!$A$9:$A$874,"01/07/2025",'AT. MEDICAS 2024'!$I$9:$I$874,B162)</f>
        <v>0</v>
      </c>
      <c r="D162" s="30">
        <f>COUNTIFS('AT. MEDICAS 2024'!$A$9:$A$874,"02/07/2025",'AT. MEDICAS 2024'!$I$9:$I$874,B162)</f>
        <v>0</v>
      </c>
      <c r="E162" s="30">
        <f>COUNTIFS('AT. MEDICAS 2024'!$A$9:$A$874,"03/07/2025",'AT. MEDICAS 2024'!$I$9:$I$874,B162)</f>
        <v>0</v>
      </c>
      <c r="F162" s="30">
        <f>COUNTIFS('AT. MEDICAS 2024'!$A$9:$A$874,"04/07/2025",'AT. MEDICAS 2024'!$I$9:$I$874,B162)</f>
        <v>0</v>
      </c>
      <c r="G162" s="30">
        <f>COUNTIFS('AT. MEDICAS 2024'!$A$9:$A$874,"05/07/2025",'AT. MEDICAS 2024'!$I$9:$I$874,B162)</f>
        <v>0</v>
      </c>
      <c r="H162" s="30">
        <f>COUNTIFS('AT. MEDICAS 2024'!$A$9:$A$874,"06/07/2025",'AT. MEDICAS 2024'!$I$9:$I$874,B162)</f>
        <v>0</v>
      </c>
      <c r="I162" s="30">
        <f>COUNTIFS('AT. MEDICAS 2024'!$A$9:$A$874,"07/07/2025",'AT. MEDICAS 2024'!$I$9:$I$874,B162)</f>
        <v>0</v>
      </c>
      <c r="J162" s="30">
        <f>COUNTIFS('AT. MEDICAS 2024'!$A$9:$A$874,"08/07/2025",'AT. MEDICAS 2024'!$I$9:$I$874,B162)</f>
        <v>0</v>
      </c>
      <c r="K162" s="30">
        <f>COUNTIFS('AT. MEDICAS 2024'!$A$9:$A$874,"09/07/2025",'AT. MEDICAS 2024'!$I$9:$I$874,B162)</f>
        <v>0</v>
      </c>
      <c r="L162" s="30">
        <f>COUNTIFS('AT. MEDICAS 2024'!$A$9:$A$874,"10/07/2025",'AT. MEDICAS 2024'!$I$9:$I$874,B162)</f>
        <v>0</v>
      </c>
      <c r="M162" s="30">
        <f>COUNTIFS('AT. MEDICAS 2024'!$A$9:$A$874,"11/07/2025",'AT. MEDICAS 2024'!$I$9:$I$874,B162)</f>
        <v>0</v>
      </c>
      <c r="N162" s="30">
        <f>COUNTIFS('AT. MEDICAS 2024'!$A$9:$A$874,"12/07/2025",'AT. MEDICAS 2024'!$I$9:$I$874,B162)</f>
        <v>0</v>
      </c>
      <c r="O162" s="30">
        <f>COUNTIFS('AT. MEDICAS 2024'!$A$9:$A$874,"13/07/2025",'AT. MEDICAS 2024'!$I$9:$I$874,B162)</f>
        <v>0</v>
      </c>
      <c r="P162" s="30">
        <f>COUNTIFS('AT. MEDICAS 2024'!$A$9:$A$874,"14/07/2025",'AT. MEDICAS 2024'!$I$9:$I$874,B162)</f>
        <v>0</v>
      </c>
      <c r="Q162" s="30">
        <f>COUNTIFS('AT. MEDICAS 2024'!$A$9:$A$874,"15/07/2025",'AT. MEDICAS 2024'!$I$9:$I$874,B162)</f>
        <v>0</v>
      </c>
      <c r="R162" s="30">
        <f>COUNTIFS('AT. MEDICAS 2024'!$A$9:$A$874,"16/07/2025",'AT. MEDICAS 2024'!$I$9:$I$874,B162)</f>
        <v>0</v>
      </c>
      <c r="S162" s="30">
        <f>COUNTIFS('AT. MEDICAS 2024'!$A$9:$A$874,"17/07/2025",'AT. MEDICAS 2024'!$I$9:$I$874,B162)</f>
        <v>0</v>
      </c>
      <c r="T162" s="30">
        <f>COUNTIFS('AT. MEDICAS 2024'!$A$9:$A$874,"18/07/2025",'AT. MEDICAS 2024'!$I$9:$I$874,B162)</f>
        <v>0</v>
      </c>
      <c r="U162" s="30">
        <f>COUNTIFS('AT. MEDICAS 2024'!$A$9:$A$874,"19/07/2025",'AT. MEDICAS 2024'!$I$9:$I$874,B162)</f>
        <v>0</v>
      </c>
      <c r="V162" s="30">
        <f>COUNTIFS('AT. MEDICAS 2024'!$A$9:$A$874,"20/07/2025",'AT. MEDICAS 2024'!$I$9:$I$874,B162)</f>
        <v>0</v>
      </c>
      <c r="W162" s="30">
        <f>COUNTIFS('AT. MEDICAS 2024'!$A$9:$A$874,"21/07/2025",'AT. MEDICAS 2024'!$I$9:$I$874,B162)</f>
        <v>0</v>
      </c>
      <c r="X162" s="30">
        <f>COUNTIFS('AT. MEDICAS 2024'!$A$9:$A$874,"22/07/2025",'AT. MEDICAS 2024'!$I$9:$I$874,B162)</f>
        <v>0</v>
      </c>
      <c r="Y162" s="30">
        <f>COUNTIFS('AT. MEDICAS 2024'!$A$9:$A$874,"23/07/2025",'AT. MEDICAS 2024'!$I$9:$I$874,B162)</f>
        <v>0</v>
      </c>
      <c r="Z162" s="30">
        <f>COUNTIFS('AT. MEDICAS 2024'!$A$9:$A$874,"24/07/2025",'AT. MEDICAS 2024'!$I$9:$I$874,B162)</f>
        <v>0</v>
      </c>
      <c r="AA162" s="30">
        <f>COUNTIFS('AT. MEDICAS 2024'!$A$9:$A$874,"25/07/2025",'AT. MEDICAS 2024'!$I$9:$I$874,B162)</f>
        <v>0</v>
      </c>
      <c r="AB162" s="30">
        <f>COUNTIFS('AT. MEDICAS 2024'!$A$9:$A$874,"26/07/2025",'AT. MEDICAS 2024'!$I$9:$I$874,B162)</f>
        <v>0</v>
      </c>
      <c r="AC162" s="30">
        <f>COUNTIFS('AT. MEDICAS 2024'!$A$9:$A$874,"27/07/2025",'AT. MEDICAS 2024'!$I$9:$I$874,B162)</f>
        <v>0</v>
      </c>
      <c r="AD162" s="30">
        <f>COUNTIFS('AT. MEDICAS 2024'!$A$9:$A$874,"28/07/2025",'AT. MEDICAS 2024'!$I$9:$I$874,B162)</f>
        <v>0</v>
      </c>
      <c r="AE162" s="30">
        <f>COUNTIFS('AT. MEDICAS 2024'!$A$9:$A$874,"29/07/2025",'AT. MEDICAS 2024'!$I$9:$I$874,B162)</f>
        <v>0</v>
      </c>
      <c r="AF162" s="30">
        <f>COUNTIFS('AT. MEDICAS 2024'!$A$9:$A$874,"30/07/2025",'AT. MEDICAS 2024'!$I$9:$I$874,B162)</f>
        <v>0</v>
      </c>
      <c r="AG162" s="30">
        <f>COUNTIFS('AT. MEDICAS 2024'!$A$9:$A$874,"31/07/2025",'AT. MEDICAS 2024'!$I$9:$I$874,B162)</f>
        <v>0</v>
      </c>
      <c r="AH162" s="55">
        <f t="shared" si="23"/>
        <v>0</v>
      </c>
    </row>
    <row r="163" spans="1:34" ht="13.8" thickBot="1" x14ac:dyDescent="0.3">
      <c r="A163" s="41">
        <v>3</v>
      </c>
      <c r="B163" s="54" t="s">
        <v>94</v>
      </c>
      <c r="C163" s="30">
        <f>COUNTIFS('AT. MEDICAS 2024'!$A$9:$A$874,"01/07/2025",'AT. MEDICAS 2024'!$I$9:$I$874,B163)</f>
        <v>0</v>
      </c>
      <c r="D163" s="30">
        <f>COUNTIFS('AT. MEDICAS 2024'!$A$9:$A$874,"02/07/2025",'AT. MEDICAS 2024'!$I$9:$I$874,B163)</f>
        <v>0</v>
      </c>
      <c r="E163" s="30">
        <f>COUNTIFS('AT. MEDICAS 2024'!$A$9:$A$874,"03/07/2025",'AT. MEDICAS 2024'!$I$9:$I$874,B163)</f>
        <v>0</v>
      </c>
      <c r="F163" s="30">
        <f>COUNTIFS('AT. MEDICAS 2024'!$A$9:$A$874,"04/07/2025",'AT. MEDICAS 2024'!$I$9:$I$874,B163)</f>
        <v>0</v>
      </c>
      <c r="G163" s="30">
        <f>COUNTIFS('AT. MEDICAS 2024'!$A$9:$A$874,"05/07/2025",'AT. MEDICAS 2024'!$I$9:$I$874,B163)</f>
        <v>0</v>
      </c>
      <c r="H163" s="30">
        <f>COUNTIFS('AT. MEDICAS 2024'!$A$9:$A$874,"06/07/2025",'AT. MEDICAS 2024'!$I$9:$I$874,B163)</f>
        <v>0</v>
      </c>
      <c r="I163" s="30">
        <f>COUNTIFS('AT. MEDICAS 2024'!$A$9:$A$874,"07/07/2025",'AT. MEDICAS 2024'!$I$9:$I$874,B163)</f>
        <v>0</v>
      </c>
      <c r="J163" s="30">
        <f>COUNTIFS('AT. MEDICAS 2024'!$A$9:$A$874,"08/07/2025",'AT. MEDICAS 2024'!$I$9:$I$874,B163)</f>
        <v>0</v>
      </c>
      <c r="K163" s="30">
        <f>COUNTIFS('AT. MEDICAS 2024'!$A$9:$A$874,"09/07/2025",'AT. MEDICAS 2024'!$I$9:$I$874,B163)</f>
        <v>0</v>
      </c>
      <c r="L163" s="30">
        <f>COUNTIFS('AT. MEDICAS 2024'!$A$9:$A$874,"10/07/2025",'AT. MEDICAS 2024'!$I$9:$I$874,B163)</f>
        <v>0</v>
      </c>
      <c r="M163" s="30">
        <f>COUNTIFS('AT. MEDICAS 2024'!$A$9:$A$874,"11/07/2025",'AT. MEDICAS 2024'!$I$9:$I$874,B163)</f>
        <v>0</v>
      </c>
      <c r="N163" s="30">
        <f>COUNTIFS('AT. MEDICAS 2024'!$A$9:$A$874,"12/07/2025",'AT. MEDICAS 2024'!$I$9:$I$874,B163)</f>
        <v>0</v>
      </c>
      <c r="O163" s="30">
        <f>COUNTIFS('AT. MEDICAS 2024'!$A$9:$A$874,"13/07/2025",'AT. MEDICAS 2024'!$I$9:$I$874,B163)</f>
        <v>0</v>
      </c>
      <c r="P163" s="30">
        <f>COUNTIFS('AT. MEDICAS 2024'!$A$9:$A$874,"14/07/2025",'AT. MEDICAS 2024'!$I$9:$I$874,B163)</f>
        <v>0</v>
      </c>
      <c r="Q163" s="30">
        <f>COUNTIFS('AT. MEDICAS 2024'!$A$9:$A$874,"15/07/2025",'AT. MEDICAS 2024'!$I$9:$I$874,B163)</f>
        <v>0</v>
      </c>
      <c r="R163" s="30">
        <f>COUNTIFS('AT. MEDICAS 2024'!$A$9:$A$874,"16/07/2025",'AT. MEDICAS 2024'!$I$9:$I$874,B163)</f>
        <v>0</v>
      </c>
      <c r="S163" s="30">
        <f>COUNTIFS('AT. MEDICAS 2024'!$A$9:$A$874,"17/07/2025",'AT. MEDICAS 2024'!$I$9:$I$874,B163)</f>
        <v>0</v>
      </c>
      <c r="T163" s="30">
        <f>COUNTIFS('AT. MEDICAS 2024'!$A$9:$A$874,"18/07/2025",'AT. MEDICAS 2024'!$I$9:$I$874,B163)</f>
        <v>0</v>
      </c>
      <c r="U163" s="30">
        <f>COUNTIFS('AT. MEDICAS 2024'!$A$9:$A$874,"19/07/2025",'AT. MEDICAS 2024'!$I$9:$I$874,B163)</f>
        <v>0</v>
      </c>
      <c r="V163" s="30">
        <f>COUNTIFS('AT. MEDICAS 2024'!$A$9:$A$874,"20/07/2025",'AT. MEDICAS 2024'!$I$9:$I$874,B163)</f>
        <v>0</v>
      </c>
      <c r="W163" s="30">
        <f>COUNTIFS('AT. MEDICAS 2024'!$A$9:$A$874,"21/07/2025",'AT. MEDICAS 2024'!$I$9:$I$874,B163)</f>
        <v>0</v>
      </c>
      <c r="X163" s="30">
        <f>COUNTIFS('AT. MEDICAS 2024'!$A$9:$A$874,"22/07/2025",'AT. MEDICAS 2024'!$I$9:$I$874,B163)</f>
        <v>0</v>
      </c>
      <c r="Y163" s="30">
        <f>COUNTIFS('AT. MEDICAS 2024'!$A$9:$A$874,"23/07/2025",'AT. MEDICAS 2024'!$I$9:$I$874,B163)</f>
        <v>0</v>
      </c>
      <c r="Z163" s="30">
        <f>COUNTIFS('AT. MEDICAS 2024'!$A$9:$A$874,"24/07/2025",'AT. MEDICAS 2024'!$I$9:$I$874,B163)</f>
        <v>0</v>
      </c>
      <c r="AA163" s="30">
        <f>COUNTIFS('AT. MEDICAS 2024'!$A$9:$A$874,"25/07/2025",'AT. MEDICAS 2024'!$I$9:$I$874,B163)</f>
        <v>0</v>
      </c>
      <c r="AB163" s="30">
        <f>COUNTIFS('AT. MEDICAS 2024'!$A$9:$A$874,"26/07/2025",'AT. MEDICAS 2024'!$I$9:$I$874,B163)</f>
        <v>0</v>
      </c>
      <c r="AC163" s="30">
        <f>COUNTIFS('AT. MEDICAS 2024'!$A$9:$A$874,"27/07/2025",'AT. MEDICAS 2024'!$I$9:$I$874,B163)</f>
        <v>0</v>
      </c>
      <c r="AD163" s="30">
        <f>COUNTIFS('AT. MEDICAS 2024'!$A$9:$A$874,"28/07/2025",'AT. MEDICAS 2024'!$I$9:$I$874,B163)</f>
        <v>0</v>
      </c>
      <c r="AE163" s="30">
        <f>COUNTIFS('AT. MEDICAS 2024'!$A$9:$A$874,"29/07/2025",'AT. MEDICAS 2024'!$I$9:$I$874,B163)</f>
        <v>0</v>
      </c>
      <c r="AF163" s="30">
        <f>COUNTIFS('AT. MEDICAS 2024'!$A$9:$A$874,"30/07/2025",'AT. MEDICAS 2024'!$I$9:$I$874,B163)</f>
        <v>0</v>
      </c>
      <c r="AG163" s="30">
        <f>COUNTIFS('AT. MEDICAS 2024'!$A$9:$A$874,"31/07/2025",'AT. MEDICAS 2024'!$I$9:$I$874,B163)</f>
        <v>0</v>
      </c>
      <c r="AH163" s="55">
        <f t="shared" si="23"/>
        <v>0</v>
      </c>
    </row>
    <row r="164" spans="1:34" ht="13.8" thickBot="1" x14ac:dyDescent="0.3">
      <c r="A164" s="41">
        <v>4</v>
      </c>
      <c r="B164" s="54" t="s">
        <v>50</v>
      </c>
      <c r="C164" s="30">
        <f>COUNTIFS('AT. MEDICAS 2024'!$A$9:$A$874,"01/07/2025",'AT. MEDICAS 2024'!$I$9:$I$874,B164)</f>
        <v>0</v>
      </c>
      <c r="D164" s="30">
        <f>COUNTIFS('AT. MEDICAS 2024'!$A$9:$A$874,"02/07/2025",'AT. MEDICAS 2024'!$I$9:$I$874,B164)</f>
        <v>0</v>
      </c>
      <c r="E164" s="30">
        <f>COUNTIFS('AT. MEDICAS 2024'!$A$9:$A$874,"03/07/2025",'AT. MEDICAS 2024'!$I$9:$I$874,B164)</f>
        <v>0</v>
      </c>
      <c r="F164" s="30">
        <f>COUNTIFS('AT. MEDICAS 2024'!$A$9:$A$874,"04/07/2025",'AT. MEDICAS 2024'!$I$9:$I$874,B164)</f>
        <v>0</v>
      </c>
      <c r="G164" s="30">
        <f>COUNTIFS('AT. MEDICAS 2024'!$A$9:$A$874,"05/07/2025",'AT. MEDICAS 2024'!$I$9:$I$874,B164)</f>
        <v>0</v>
      </c>
      <c r="H164" s="30">
        <f>COUNTIFS('AT. MEDICAS 2024'!$A$9:$A$874,"06/07/2025",'AT. MEDICAS 2024'!$I$9:$I$874,B164)</f>
        <v>0</v>
      </c>
      <c r="I164" s="30">
        <f>COUNTIFS('AT. MEDICAS 2024'!$A$9:$A$874,"07/07/2025",'AT. MEDICAS 2024'!$I$9:$I$874,B164)</f>
        <v>0</v>
      </c>
      <c r="J164" s="30">
        <f>COUNTIFS('AT. MEDICAS 2024'!$A$9:$A$874,"08/07/2025",'AT. MEDICAS 2024'!$I$9:$I$874,B164)</f>
        <v>0</v>
      </c>
      <c r="K164" s="30">
        <f>COUNTIFS('AT. MEDICAS 2024'!$A$9:$A$874,"09/07/2025",'AT. MEDICAS 2024'!$I$9:$I$874,B164)</f>
        <v>0</v>
      </c>
      <c r="L164" s="30">
        <f>COUNTIFS('AT. MEDICAS 2024'!$A$9:$A$874,"10/07/2025",'AT. MEDICAS 2024'!$I$9:$I$874,B164)</f>
        <v>0</v>
      </c>
      <c r="M164" s="30">
        <f>COUNTIFS('AT. MEDICAS 2024'!$A$9:$A$874,"11/07/2025",'AT. MEDICAS 2024'!$I$9:$I$874,B164)</f>
        <v>0</v>
      </c>
      <c r="N164" s="30">
        <f>COUNTIFS('AT. MEDICAS 2024'!$A$9:$A$874,"12/07/2025",'AT. MEDICAS 2024'!$I$9:$I$874,B164)</f>
        <v>0</v>
      </c>
      <c r="O164" s="30">
        <f>COUNTIFS('AT. MEDICAS 2024'!$A$9:$A$874,"13/07/2025",'AT. MEDICAS 2024'!$I$9:$I$874,B164)</f>
        <v>0</v>
      </c>
      <c r="P164" s="30">
        <f>COUNTIFS('AT. MEDICAS 2024'!$A$9:$A$874,"14/07/2025",'AT. MEDICAS 2024'!$I$9:$I$874,B164)</f>
        <v>0</v>
      </c>
      <c r="Q164" s="30">
        <f>COUNTIFS('AT. MEDICAS 2024'!$A$9:$A$874,"15/07/2025",'AT. MEDICAS 2024'!$I$9:$I$874,B164)</f>
        <v>0</v>
      </c>
      <c r="R164" s="30">
        <f>COUNTIFS('AT. MEDICAS 2024'!$A$9:$A$874,"16/07/2025",'AT. MEDICAS 2024'!$I$9:$I$874,B164)</f>
        <v>0</v>
      </c>
      <c r="S164" s="30">
        <f>COUNTIFS('AT. MEDICAS 2024'!$A$9:$A$874,"17/07/2025",'AT. MEDICAS 2024'!$I$9:$I$874,B164)</f>
        <v>0</v>
      </c>
      <c r="T164" s="30">
        <f>COUNTIFS('AT. MEDICAS 2024'!$A$9:$A$874,"18/07/2025",'AT. MEDICAS 2024'!$I$9:$I$874,B164)</f>
        <v>0</v>
      </c>
      <c r="U164" s="30">
        <f>COUNTIFS('AT. MEDICAS 2024'!$A$9:$A$874,"19/07/2025",'AT. MEDICAS 2024'!$I$9:$I$874,B164)</f>
        <v>0</v>
      </c>
      <c r="V164" s="30">
        <f>COUNTIFS('AT. MEDICAS 2024'!$A$9:$A$874,"20/07/2025",'AT. MEDICAS 2024'!$I$9:$I$874,B164)</f>
        <v>0</v>
      </c>
      <c r="W164" s="30">
        <f>COUNTIFS('AT. MEDICAS 2024'!$A$9:$A$874,"21/07/2025",'AT. MEDICAS 2024'!$I$9:$I$874,B164)</f>
        <v>0</v>
      </c>
      <c r="X164" s="30">
        <f>COUNTIFS('AT. MEDICAS 2024'!$A$9:$A$874,"22/07/2025",'AT. MEDICAS 2024'!$I$9:$I$874,B164)</f>
        <v>0</v>
      </c>
      <c r="Y164" s="30">
        <f>COUNTIFS('AT. MEDICAS 2024'!$A$9:$A$874,"23/07/2025",'AT. MEDICAS 2024'!$I$9:$I$874,B164)</f>
        <v>0</v>
      </c>
      <c r="Z164" s="30">
        <f>COUNTIFS('AT. MEDICAS 2024'!$A$9:$A$874,"24/07/2025",'AT. MEDICAS 2024'!$I$9:$I$874,B164)</f>
        <v>0</v>
      </c>
      <c r="AA164" s="30">
        <f>COUNTIFS('AT. MEDICAS 2024'!$A$9:$A$874,"25/07/2025",'AT. MEDICAS 2024'!$I$9:$I$874,B164)</f>
        <v>0</v>
      </c>
      <c r="AB164" s="30">
        <f>COUNTIFS('AT. MEDICAS 2024'!$A$9:$A$874,"26/07/2025",'AT. MEDICAS 2024'!$I$9:$I$874,B164)</f>
        <v>0</v>
      </c>
      <c r="AC164" s="30">
        <f>COUNTIFS('AT. MEDICAS 2024'!$A$9:$A$874,"27/07/2025",'AT. MEDICAS 2024'!$I$9:$I$874,B164)</f>
        <v>0</v>
      </c>
      <c r="AD164" s="30">
        <f>COUNTIFS('AT. MEDICAS 2024'!$A$9:$A$874,"28/07/2025",'AT. MEDICAS 2024'!$I$9:$I$874,B164)</f>
        <v>0</v>
      </c>
      <c r="AE164" s="30">
        <f>COUNTIFS('AT. MEDICAS 2024'!$A$9:$A$874,"29/07/2025",'AT. MEDICAS 2024'!$I$9:$I$874,B164)</f>
        <v>0</v>
      </c>
      <c r="AF164" s="30">
        <f>COUNTIFS('AT. MEDICAS 2024'!$A$9:$A$874,"30/07/2025",'AT. MEDICAS 2024'!$I$9:$I$874,B164)</f>
        <v>0</v>
      </c>
      <c r="AG164" s="30">
        <f>COUNTIFS('AT. MEDICAS 2024'!$A$9:$A$874,"31/07/2025",'AT. MEDICAS 2024'!$I$9:$I$874,B164)</f>
        <v>0</v>
      </c>
      <c r="AH164" s="55">
        <f t="shared" si="23"/>
        <v>0</v>
      </c>
    </row>
    <row r="165" spans="1:34" ht="13.8" thickBot="1" x14ac:dyDescent="0.3">
      <c r="A165" s="41">
        <v>5</v>
      </c>
      <c r="B165" s="54" t="s">
        <v>187</v>
      </c>
      <c r="C165" s="30">
        <f>COUNTIFS('AT. MEDICAS 2024'!$A$9:$A$874,"01/07/2025",'AT. MEDICAS 2024'!$I$9:$I$874,B165)</f>
        <v>0</v>
      </c>
      <c r="D165" s="30">
        <f>COUNTIFS('AT. MEDICAS 2024'!$A$9:$A$874,"02/07/2025",'AT. MEDICAS 2024'!$I$9:$I$874,B165)</f>
        <v>0</v>
      </c>
      <c r="E165" s="30">
        <f>COUNTIFS('AT. MEDICAS 2024'!$A$9:$A$874,"03/07/2025",'AT. MEDICAS 2024'!$I$9:$I$874,B165)</f>
        <v>0</v>
      </c>
      <c r="F165" s="30">
        <f>COUNTIFS('AT. MEDICAS 2024'!$A$9:$A$874,"04/07/2025",'AT. MEDICAS 2024'!$I$9:$I$874,B165)</f>
        <v>0</v>
      </c>
      <c r="G165" s="30">
        <f>COUNTIFS('AT. MEDICAS 2024'!$A$9:$A$874,"05/07/2025",'AT. MEDICAS 2024'!$I$9:$I$874,B165)</f>
        <v>0</v>
      </c>
      <c r="H165" s="30">
        <f>COUNTIFS('AT. MEDICAS 2024'!$A$9:$A$874,"06/07/2025",'AT. MEDICAS 2024'!$I$9:$I$874,B165)</f>
        <v>0</v>
      </c>
      <c r="I165" s="30">
        <f>COUNTIFS('AT. MEDICAS 2024'!$A$9:$A$874,"07/07/2025",'AT. MEDICAS 2024'!$I$9:$I$874,B165)</f>
        <v>0</v>
      </c>
      <c r="J165" s="30">
        <f>COUNTIFS('AT. MEDICAS 2024'!$A$9:$A$874,"08/07/2025",'AT. MEDICAS 2024'!$I$9:$I$874,B165)</f>
        <v>0</v>
      </c>
      <c r="K165" s="30">
        <f>COUNTIFS('AT. MEDICAS 2024'!$A$9:$A$874,"09/07/2025",'AT. MEDICAS 2024'!$I$9:$I$874,B165)</f>
        <v>0</v>
      </c>
      <c r="L165" s="30">
        <f>COUNTIFS('AT. MEDICAS 2024'!$A$9:$A$874,"10/07/2025",'AT. MEDICAS 2024'!$I$9:$I$874,B165)</f>
        <v>0</v>
      </c>
      <c r="M165" s="30">
        <f>COUNTIFS('AT. MEDICAS 2024'!$A$9:$A$874,"11/07/2025",'AT. MEDICAS 2024'!$I$9:$I$874,B165)</f>
        <v>0</v>
      </c>
      <c r="N165" s="30">
        <f>COUNTIFS('AT. MEDICAS 2024'!$A$9:$A$874,"12/07/2025",'AT. MEDICAS 2024'!$I$9:$I$874,B165)</f>
        <v>0</v>
      </c>
      <c r="O165" s="30">
        <f>COUNTIFS('AT. MEDICAS 2024'!$A$9:$A$874,"13/07/2025",'AT. MEDICAS 2024'!$I$9:$I$874,B165)</f>
        <v>0</v>
      </c>
      <c r="P165" s="30">
        <f>COUNTIFS('AT. MEDICAS 2024'!$A$9:$A$874,"14/07/2025",'AT. MEDICAS 2024'!$I$9:$I$874,B165)</f>
        <v>0</v>
      </c>
      <c r="Q165" s="30">
        <f>COUNTIFS('AT. MEDICAS 2024'!$A$9:$A$874,"15/07/2025",'AT. MEDICAS 2024'!$I$9:$I$874,B165)</f>
        <v>0</v>
      </c>
      <c r="R165" s="30">
        <f>COUNTIFS('AT. MEDICAS 2024'!$A$9:$A$874,"16/07/2025",'AT. MEDICAS 2024'!$I$9:$I$874,B165)</f>
        <v>0</v>
      </c>
      <c r="S165" s="30">
        <f>COUNTIFS('AT. MEDICAS 2024'!$A$9:$A$874,"17/07/2025",'AT. MEDICAS 2024'!$I$9:$I$874,B165)</f>
        <v>0</v>
      </c>
      <c r="T165" s="30">
        <f>COUNTIFS('AT. MEDICAS 2024'!$A$9:$A$874,"18/07/2025",'AT. MEDICAS 2024'!$I$9:$I$874,B165)</f>
        <v>0</v>
      </c>
      <c r="U165" s="30">
        <f>COUNTIFS('AT. MEDICAS 2024'!$A$9:$A$874,"19/07/2025",'AT. MEDICAS 2024'!$I$9:$I$874,B165)</f>
        <v>0</v>
      </c>
      <c r="V165" s="30">
        <f>COUNTIFS('AT. MEDICAS 2024'!$A$9:$A$874,"20/07/2025",'AT. MEDICAS 2024'!$I$9:$I$874,B165)</f>
        <v>0</v>
      </c>
      <c r="W165" s="30">
        <f>COUNTIFS('AT. MEDICAS 2024'!$A$9:$A$874,"21/07/2025",'AT. MEDICAS 2024'!$I$9:$I$874,B165)</f>
        <v>0</v>
      </c>
      <c r="X165" s="30">
        <f>COUNTIFS('AT. MEDICAS 2024'!$A$9:$A$874,"22/07/2025",'AT. MEDICAS 2024'!$I$9:$I$874,B165)</f>
        <v>0</v>
      </c>
      <c r="Y165" s="30">
        <f>COUNTIFS('AT. MEDICAS 2024'!$A$9:$A$874,"23/07/2025",'AT. MEDICAS 2024'!$I$9:$I$874,B165)</f>
        <v>0</v>
      </c>
      <c r="Z165" s="30">
        <f>COUNTIFS('AT. MEDICAS 2024'!$A$9:$A$874,"24/07/2025",'AT. MEDICAS 2024'!$I$9:$I$874,B165)</f>
        <v>0</v>
      </c>
      <c r="AA165" s="30">
        <f>COUNTIFS('AT. MEDICAS 2024'!$A$9:$A$874,"25/07/2025",'AT. MEDICAS 2024'!$I$9:$I$874,B165)</f>
        <v>0</v>
      </c>
      <c r="AB165" s="30">
        <f>COUNTIFS('AT. MEDICAS 2024'!$A$9:$A$874,"26/07/2025",'AT. MEDICAS 2024'!$I$9:$I$874,B165)</f>
        <v>0</v>
      </c>
      <c r="AC165" s="30">
        <f>COUNTIFS('AT. MEDICAS 2024'!$A$9:$A$874,"27/07/2025",'AT. MEDICAS 2024'!$I$9:$I$874,B165)</f>
        <v>0</v>
      </c>
      <c r="AD165" s="30">
        <f>COUNTIFS('AT. MEDICAS 2024'!$A$9:$A$874,"28/07/2025",'AT. MEDICAS 2024'!$I$9:$I$874,B165)</f>
        <v>0</v>
      </c>
      <c r="AE165" s="30">
        <f>COUNTIFS('AT. MEDICAS 2024'!$A$9:$A$874,"29/07/2025",'AT. MEDICAS 2024'!$I$9:$I$874,B165)</f>
        <v>0</v>
      </c>
      <c r="AF165" s="30">
        <f>COUNTIFS('AT. MEDICAS 2024'!$A$9:$A$874,"30/07/2025",'AT. MEDICAS 2024'!$I$9:$I$874,B165)</f>
        <v>0</v>
      </c>
      <c r="AG165" s="30">
        <f>COUNTIFS('AT. MEDICAS 2024'!$A$9:$A$874,"31/07/2025",'AT. MEDICAS 2024'!$I$9:$I$874,B165)</f>
        <v>0</v>
      </c>
      <c r="AH165" s="55">
        <f t="shared" si="23"/>
        <v>0</v>
      </c>
    </row>
    <row r="166" spans="1:34" ht="13.8" thickBot="1" x14ac:dyDescent="0.3">
      <c r="A166" s="41">
        <v>6</v>
      </c>
      <c r="B166" s="54" t="s">
        <v>46</v>
      </c>
      <c r="C166" s="30">
        <f>COUNTIFS('AT. MEDICAS 2024'!$A$9:$A$874,"01/07/2025",'AT. MEDICAS 2024'!$I$9:$I$874,B166)</f>
        <v>0</v>
      </c>
      <c r="D166" s="30">
        <f>COUNTIFS('AT. MEDICAS 2024'!$A$9:$A$874,"02/07/2025",'AT. MEDICAS 2024'!$I$9:$I$874,B166)</f>
        <v>0</v>
      </c>
      <c r="E166" s="30">
        <f>COUNTIFS('AT. MEDICAS 2024'!$A$9:$A$874,"03/07/2025",'AT. MEDICAS 2024'!$I$9:$I$874,B166)</f>
        <v>0</v>
      </c>
      <c r="F166" s="30">
        <f>COUNTIFS('AT. MEDICAS 2024'!$A$9:$A$874,"04/07/2025",'AT. MEDICAS 2024'!$I$9:$I$874,B166)</f>
        <v>0</v>
      </c>
      <c r="G166" s="30">
        <f>COUNTIFS('AT. MEDICAS 2024'!$A$9:$A$874,"05/07/2025",'AT. MEDICAS 2024'!$I$9:$I$874,B166)</f>
        <v>0</v>
      </c>
      <c r="H166" s="30">
        <f>COUNTIFS('AT. MEDICAS 2024'!$A$9:$A$874,"06/07/2025",'AT. MEDICAS 2024'!$I$9:$I$874,B166)</f>
        <v>0</v>
      </c>
      <c r="I166" s="30">
        <f>COUNTIFS('AT. MEDICAS 2024'!$A$9:$A$874,"07/07/2025",'AT. MEDICAS 2024'!$I$9:$I$874,B166)</f>
        <v>0</v>
      </c>
      <c r="J166" s="30">
        <f>COUNTIFS('AT. MEDICAS 2024'!$A$9:$A$874,"08/07/2025",'AT. MEDICAS 2024'!$I$9:$I$874,B166)</f>
        <v>0</v>
      </c>
      <c r="K166" s="30">
        <f>COUNTIFS('AT. MEDICAS 2024'!$A$9:$A$874,"09/07/2025",'AT. MEDICAS 2024'!$I$9:$I$874,B166)</f>
        <v>0</v>
      </c>
      <c r="L166" s="30">
        <f>COUNTIFS('AT. MEDICAS 2024'!$A$9:$A$874,"10/07/2025",'AT. MEDICAS 2024'!$I$9:$I$874,B166)</f>
        <v>0</v>
      </c>
      <c r="M166" s="30">
        <f>COUNTIFS('AT. MEDICAS 2024'!$A$9:$A$874,"11/07/2025",'AT. MEDICAS 2024'!$I$9:$I$874,B166)</f>
        <v>0</v>
      </c>
      <c r="N166" s="30">
        <f>COUNTIFS('AT. MEDICAS 2024'!$A$9:$A$874,"12/07/2025",'AT. MEDICAS 2024'!$I$9:$I$874,B166)</f>
        <v>0</v>
      </c>
      <c r="O166" s="30">
        <f>COUNTIFS('AT. MEDICAS 2024'!$A$9:$A$874,"13/07/2025",'AT. MEDICAS 2024'!$I$9:$I$874,B166)</f>
        <v>0</v>
      </c>
      <c r="P166" s="30">
        <f>COUNTIFS('AT. MEDICAS 2024'!$A$9:$A$874,"14/07/2025",'AT. MEDICAS 2024'!$I$9:$I$874,B166)</f>
        <v>0</v>
      </c>
      <c r="Q166" s="30">
        <f>COUNTIFS('AT. MEDICAS 2024'!$A$9:$A$874,"15/07/2025",'AT. MEDICAS 2024'!$I$9:$I$874,B166)</f>
        <v>0</v>
      </c>
      <c r="R166" s="30">
        <f>COUNTIFS('AT. MEDICAS 2024'!$A$9:$A$874,"16/07/2025",'AT. MEDICAS 2024'!$I$9:$I$874,B166)</f>
        <v>0</v>
      </c>
      <c r="S166" s="30">
        <f>COUNTIFS('AT. MEDICAS 2024'!$A$9:$A$874,"17/07/2025",'AT. MEDICAS 2024'!$I$9:$I$874,B166)</f>
        <v>0</v>
      </c>
      <c r="T166" s="30">
        <f>COUNTIFS('AT. MEDICAS 2024'!$A$9:$A$874,"18/07/2025",'AT. MEDICAS 2024'!$I$9:$I$874,B166)</f>
        <v>0</v>
      </c>
      <c r="U166" s="30">
        <f>COUNTIFS('AT. MEDICAS 2024'!$A$9:$A$874,"19/07/2025",'AT. MEDICAS 2024'!$I$9:$I$874,B166)</f>
        <v>0</v>
      </c>
      <c r="V166" s="30">
        <f>COUNTIFS('AT. MEDICAS 2024'!$A$9:$A$874,"20/07/2025",'AT. MEDICAS 2024'!$I$9:$I$874,B166)</f>
        <v>0</v>
      </c>
      <c r="W166" s="30">
        <f>COUNTIFS('AT. MEDICAS 2024'!$A$9:$A$874,"21/07/2025",'AT. MEDICAS 2024'!$I$9:$I$874,B166)</f>
        <v>0</v>
      </c>
      <c r="X166" s="30">
        <f>COUNTIFS('AT. MEDICAS 2024'!$A$9:$A$874,"22/07/2025",'AT. MEDICAS 2024'!$I$9:$I$874,B166)</f>
        <v>0</v>
      </c>
      <c r="Y166" s="30">
        <f>COUNTIFS('AT. MEDICAS 2024'!$A$9:$A$874,"23/07/2025",'AT. MEDICAS 2024'!$I$9:$I$874,B166)</f>
        <v>0</v>
      </c>
      <c r="Z166" s="30">
        <f>COUNTIFS('AT. MEDICAS 2024'!$A$9:$A$874,"24/07/2025",'AT. MEDICAS 2024'!$I$9:$I$874,B166)</f>
        <v>0</v>
      </c>
      <c r="AA166" s="30">
        <f>COUNTIFS('AT. MEDICAS 2024'!$A$9:$A$874,"25/07/2025",'AT. MEDICAS 2024'!$I$9:$I$874,B166)</f>
        <v>0</v>
      </c>
      <c r="AB166" s="30">
        <f>COUNTIFS('AT. MEDICAS 2024'!$A$9:$A$874,"26/07/2025",'AT. MEDICAS 2024'!$I$9:$I$874,B166)</f>
        <v>0</v>
      </c>
      <c r="AC166" s="30">
        <f>COUNTIFS('AT. MEDICAS 2024'!$A$9:$A$874,"27/07/2025",'AT. MEDICAS 2024'!$I$9:$I$874,B166)</f>
        <v>0</v>
      </c>
      <c r="AD166" s="30">
        <f>COUNTIFS('AT. MEDICAS 2024'!$A$9:$A$874,"28/07/2025",'AT. MEDICAS 2024'!$I$9:$I$874,B166)</f>
        <v>0</v>
      </c>
      <c r="AE166" s="30">
        <f>COUNTIFS('AT. MEDICAS 2024'!$A$9:$A$874,"29/07/2025",'AT. MEDICAS 2024'!$I$9:$I$874,B166)</f>
        <v>0</v>
      </c>
      <c r="AF166" s="30">
        <f>COUNTIFS('AT. MEDICAS 2024'!$A$9:$A$874,"30/07/2025",'AT. MEDICAS 2024'!$I$9:$I$874,B166)</f>
        <v>0</v>
      </c>
      <c r="AG166" s="30">
        <f>COUNTIFS('AT. MEDICAS 2024'!$A$9:$A$874,"31/07/2025",'AT. MEDICAS 2024'!$I$9:$I$874,B166)</f>
        <v>0</v>
      </c>
      <c r="AH166" s="55">
        <f t="shared" si="23"/>
        <v>0</v>
      </c>
    </row>
    <row r="167" spans="1:34" ht="13.8" thickBot="1" x14ac:dyDescent="0.3">
      <c r="A167" s="41">
        <v>7</v>
      </c>
      <c r="B167" s="54" t="s">
        <v>36</v>
      </c>
      <c r="C167" s="30">
        <f>COUNTIFS('AT. MEDICAS 2024'!$A$9:$A$874,"01/07/2025",'AT. MEDICAS 2024'!$I$9:$I$874,B167)</f>
        <v>0</v>
      </c>
      <c r="D167" s="30">
        <f>COUNTIFS('AT. MEDICAS 2024'!$A$9:$A$874,"02/07/2025",'AT. MEDICAS 2024'!$I$9:$I$874,B167)</f>
        <v>0</v>
      </c>
      <c r="E167" s="30">
        <f>COUNTIFS('AT. MEDICAS 2024'!$A$9:$A$874,"03/07/2025",'AT. MEDICAS 2024'!$I$9:$I$874,B167)</f>
        <v>0</v>
      </c>
      <c r="F167" s="30">
        <f>COUNTIFS('AT. MEDICAS 2024'!$A$9:$A$874,"04/07/2025",'AT. MEDICAS 2024'!$I$9:$I$874,B167)</f>
        <v>0</v>
      </c>
      <c r="G167" s="30">
        <f>COUNTIFS('AT. MEDICAS 2024'!$A$9:$A$874,"05/07/2025",'AT. MEDICAS 2024'!$I$9:$I$874,B167)</f>
        <v>0</v>
      </c>
      <c r="H167" s="30">
        <f>COUNTIFS('AT. MEDICAS 2024'!$A$9:$A$874,"06/07/2025",'AT. MEDICAS 2024'!$I$9:$I$874,B167)</f>
        <v>0</v>
      </c>
      <c r="I167" s="30">
        <f>COUNTIFS('AT. MEDICAS 2024'!$A$9:$A$874,"07/07/2025",'AT. MEDICAS 2024'!$I$9:$I$874,B167)</f>
        <v>0</v>
      </c>
      <c r="J167" s="30">
        <f>COUNTIFS('AT. MEDICAS 2024'!$A$9:$A$874,"08/07/2025",'AT. MEDICAS 2024'!$I$9:$I$874,B167)</f>
        <v>0</v>
      </c>
      <c r="K167" s="30">
        <f>COUNTIFS('AT. MEDICAS 2024'!$A$9:$A$874,"09/07/2025",'AT. MEDICAS 2024'!$I$9:$I$874,B167)</f>
        <v>0</v>
      </c>
      <c r="L167" s="30">
        <f>COUNTIFS('AT. MEDICAS 2024'!$A$9:$A$874,"10/07/2025",'AT. MEDICAS 2024'!$I$9:$I$874,B167)</f>
        <v>0</v>
      </c>
      <c r="M167" s="30">
        <f>COUNTIFS('AT. MEDICAS 2024'!$A$9:$A$874,"11/07/2025",'AT. MEDICAS 2024'!$I$9:$I$874,B167)</f>
        <v>0</v>
      </c>
      <c r="N167" s="30">
        <f>COUNTIFS('AT. MEDICAS 2024'!$A$9:$A$874,"12/07/2025",'AT. MEDICAS 2024'!$I$9:$I$874,B167)</f>
        <v>0</v>
      </c>
      <c r="O167" s="30">
        <f>COUNTIFS('AT. MEDICAS 2024'!$A$9:$A$874,"13/07/2025",'AT. MEDICAS 2024'!$I$9:$I$874,B167)</f>
        <v>0</v>
      </c>
      <c r="P167" s="30">
        <f>COUNTIFS('AT. MEDICAS 2024'!$A$9:$A$874,"14/07/2025",'AT. MEDICAS 2024'!$I$9:$I$874,B167)</f>
        <v>0</v>
      </c>
      <c r="Q167" s="30">
        <f>COUNTIFS('AT. MEDICAS 2024'!$A$9:$A$874,"15/07/2025",'AT. MEDICAS 2024'!$I$9:$I$874,B167)</f>
        <v>0</v>
      </c>
      <c r="R167" s="30">
        <f>COUNTIFS('AT. MEDICAS 2024'!$A$9:$A$874,"16/07/2025",'AT. MEDICAS 2024'!$I$9:$I$874,B167)</f>
        <v>0</v>
      </c>
      <c r="S167" s="30">
        <f>COUNTIFS('AT. MEDICAS 2024'!$A$9:$A$874,"17/07/2025",'AT. MEDICAS 2024'!$I$9:$I$874,B167)</f>
        <v>0</v>
      </c>
      <c r="T167" s="30">
        <f>COUNTIFS('AT. MEDICAS 2024'!$A$9:$A$874,"18/07/2025",'AT. MEDICAS 2024'!$I$9:$I$874,B167)</f>
        <v>0</v>
      </c>
      <c r="U167" s="30">
        <f>COUNTIFS('AT. MEDICAS 2024'!$A$9:$A$874,"19/07/2025",'AT. MEDICAS 2024'!$I$9:$I$874,B167)</f>
        <v>0</v>
      </c>
      <c r="V167" s="30">
        <f>COUNTIFS('AT. MEDICAS 2024'!$A$9:$A$874,"20/07/2025",'AT. MEDICAS 2024'!$I$9:$I$874,B167)</f>
        <v>0</v>
      </c>
      <c r="W167" s="30">
        <f>COUNTIFS('AT. MEDICAS 2024'!$A$9:$A$874,"21/07/2025",'AT. MEDICAS 2024'!$I$9:$I$874,B167)</f>
        <v>0</v>
      </c>
      <c r="X167" s="30">
        <f>COUNTIFS('AT. MEDICAS 2024'!$A$9:$A$874,"22/07/2025",'AT. MEDICAS 2024'!$I$9:$I$874,B167)</f>
        <v>0</v>
      </c>
      <c r="Y167" s="30">
        <f>COUNTIFS('AT. MEDICAS 2024'!$A$9:$A$874,"23/07/2025",'AT. MEDICAS 2024'!$I$9:$I$874,B167)</f>
        <v>0</v>
      </c>
      <c r="Z167" s="30">
        <f>COUNTIFS('AT. MEDICAS 2024'!$A$9:$A$874,"24/07/2025",'AT. MEDICAS 2024'!$I$9:$I$874,B167)</f>
        <v>0</v>
      </c>
      <c r="AA167" s="30">
        <f>COUNTIFS('AT. MEDICAS 2024'!$A$9:$A$874,"25/07/2025",'AT. MEDICAS 2024'!$I$9:$I$874,B167)</f>
        <v>0</v>
      </c>
      <c r="AB167" s="30">
        <f>COUNTIFS('AT. MEDICAS 2024'!$A$9:$A$874,"26/07/2025",'AT. MEDICAS 2024'!$I$9:$I$874,B167)</f>
        <v>0</v>
      </c>
      <c r="AC167" s="30">
        <f>COUNTIFS('AT. MEDICAS 2024'!$A$9:$A$874,"27/07/2025",'AT. MEDICAS 2024'!$I$9:$I$874,B167)</f>
        <v>0</v>
      </c>
      <c r="AD167" s="30">
        <f>COUNTIFS('AT. MEDICAS 2024'!$A$9:$A$874,"28/07/2025",'AT. MEDICAS 2024'!$I$9:$I$874,B167)</f>
        <v>0</v>
      </c>
      <c r="AE167" s="30">
        <f>COUNTIFS('AT. MEDICAS 2024'!$A$9:$A$874,"29/07/2025",'AT. MEDICAS 2024'!$I$9:$I$874,B167)</f>
        <v>0</v>
      </c>
      <c r="AF167" s="30">
        <f>COUNTIFS('AT. MEDICAS 2024'!$A$9:$A$874,"30/07/2025",'AT. MEDICAS 2024'!$I$9:$I$874,B167)</f>
        <v>0</v>
      </c>
      <c r="AG167" s="30">
        <f>COUNTIFS('AT. MEDICAS 2024'!$A$9:$A$874,"31/07/2025",'AT. MEDICAS 2024'!$I$9:$I$874,B167)</f>
        <v>0</v>
      </c>
      <c r="AH167" s="55">
        <f t="shared" si="23"/>
        <v>0</v>
      </c>
    </row>
    <row r="168" spans="1:34" ht="13.8" thickBot="1" x14ac:dyDescent="0.3">
      <c r="A168" s="41">
        <v>8</v>
      </c>
      <c r="B168" s="54" t="s">
        <v>92</v>
      </c>
      <c r="C168" s="30">
        <f>COUNTIFS('AT. MEDICAS 2024'!$A$9:$A$874,"01/07/2025",'AT. MEDICAS 2024'!$I$9:$I$874,B168)</f>
        <v>0</v>
      </c>
      <c r="D168" s="30">
        <f>COUNTIFS('AT. MEDICAS 2024'!$A$9:$A$874,"02/07/2025",'AT. MEDICAS 2024'!$I$9:$I$874,B168)</f>
        <v>0</v>
      </c>
      <c r="E168" s="30">
        <f>COUNTIFS('AT. MEDICAS 2024'!$A$9:$A$874,"03/07/2025",'AT. MEDICAS 2024'!$I$9:$I$874,B168)</f>
        <v>0</v>
      </c>
      <c r="F168" s="30">
        <f>COUNTIFS('AT. MEDICAS 2024'!$A$9:$A$874,"04/07/2025",'AT. MEDICAS 2024'!$I$9:$I$874,B168)</f>
        <v>0</v>
      </c>
      <c r="G168" s="30">
        <f>COUNTIFS('AT. MEDICAS 2024'!$A$9:$A$874,"05/07/2025",'AT. MEDICAS 2024'!$I$9:$I$874,B168)</f>
        <v>0</v>
      </c>
      <c r="H168" s="30">
        <f>COUNTIFS('AT. MEDICAS 2024'!$A$9:$A$874,"06/07/2025",'AT. MEDICAS 2024'!$I$9:$I$874,B168)</f>
        <v>0</v>
      </c>
      <c r="I168" s="30">
        <f>COUNTIFS('AT. MEDICAS 2024'!$A$9:$A$874,"07/07/2025",'AT. MEDICAS 2024'!$I$9:$I$874,B168)</f>
        <v>0</v>
      </c>
      <c r="J168" s="30">
        <f>COUNTIFS('AT. MEDICAS 2024'!$A$9:$A$874,"08/07/2025",'AT. MEDICAS 2024'!$I$9:$I$874,B168)</f>
        <v>0</v>
      </c>
      <c r="K168" s="30">
        <f>COUNTIFS('AT. MEDICAS 2024'!$A$9:$A$874,"09/07/2025",'AT. MEDICAS 2024'!$I$9:$I$874,B168)</f>
        <v>0</v>
      </c>
      <c r="L168" s="30">
        <f>COUNTIFS('AT. MEDICAS 2024'!$A$9:$A$874,"10/07/2025",'AT. MEDICAS 2024'!$I$9:$I$874,B168)</f>
        <v>0</v>
      </c>
      <c r="M168" s="30">
        <f>COUNTIFS('AT. MEDICAS 2024'!$A$9:$A$874,"11/07/2025",'AT. MEDICAS 2024'!$I$9:$I$874,B168)</f>
        <v>0</v>
      </c>
      <c r="N168" s="30">
        <f>COUNTIFS('AT. MEDICAS 2024'!$A$9:$A$874,"12/07/2025",'AT. MEDICAS 2024'!$I$9:$I$874,B168)</f>
        <v>0</v>
      </c>
      <c r="O168" s="30">
        <f>COUNTIFS('AT. MEDICAS 2024'!$A$9:$A$874,"13/07/2025",'AT. MEDICAS 2024'!$I$9:$I$874,B168)</f>
        <v>0</v>
      </c>
      <c r="P168" s="30">
        <f>COUNTIFS('AT. MEDICAS 2024'!$A$9:$A$874,"14/07/2025",'AT. MEDICAS 2024'!$I$9:$I$874,B168)</f>
        <v>0</v>
      </c>
      <c r="Q168" s="30">
        <f>COUNTIFS('AT. MEDICAS 2024'!$A$9:$A$874,"15/07/2025",'AT. MEDICAS 2024'!$I$9:$I$874,B168)</f>
        <v>0</v>
      </c>
      <c r="R168" s="30">
        <f>COUNTIFS('AT. MEDICAS 2024'!$A$9:$A$874,"16/07/2025",'AT. MEDICAS 2024'!$I$9:$I$874,B168)</f>
        <v>0</v>
      </c>
      <c r="S168" s="30">
        <f>COUNTIFS('AT. MEDICAS 2024'!$A$9:$A$874,"17/07/2025",'AT. MEDICAS 2024'!$I$9:$I$874,B168)</f>
        <v>0</v>
      </c>
      <c r="T168" s="30">
        <f>COUNTIFS('AT. MEDICAS 2024'!$A$9:$A$874,"18/07/2025",'AT. MEDICAS 2024'!$I$9:$I$874,B168)</f>
        <v>0</v>
      </c>
      <c r="U168" s="30">
        <f>COUNTIFS('AT. MEDICAS 2024'!$A$9:$A$874,"19/07/2025",'AT. MEDICAS 2024'!$I$9:$I$874,B168)</f>
        <v>0</v>
      </c>
      <c r="V168" s="30">
        <f>COUNTIFS('AT. MEDICAS 2024'!$A$9:$A$874,"20/07/2025",'AT. MEDICAS 2024'!$I$9:$I$874,B168)</f>
        <v>0</v>
      </c>
      <c r="W168" s="30">
        <f>COUNTIFS('AT. MEDICAS 2024'!$A$9:$A$874,"21/07/2025",'AT. MEDICAS 2024'!$I$9:$I$874,B168)</f>
        <v>0</v>
      </c>
      <c r="X168" s="30">
        <f>COUNTIFS('AT. MEDICAS 2024'!$A$9:$A$874,"22/07/2025",'AT. MEDICAS 2024'!$I$9:$I$874,B168)</f>
        <v>0</v>
      </c>
      <c r="Y168" s="30">
        <f>COUNTIFS('AT. MEDICAS 2024'!$A$9:$A$874,"23/07/2025",'AT. MEDICAS 2024'!$I$9:$I$874,B168)</f>
        <v>0</v>
      </c>
      <c r="Z168" s="30">
        <f>COUNTIFS('AT. MEDICAS 2024'!$A$9:$A$874,"24/07/2025",'AT. MEDICAS 2024'!$I$9:$I$874,B168)</f>
        <v>0</v>
      </c>
      <c r="AA168" s="30">
        <f>COUNTIFS('AT. MEDICAS 2024'!$A$9:$A$874,"25/07/2025",'AT. MEDICAS 2024'!$I$9:$I$874,B168)</f>
        <v>0</v>
      </c>
      <c r="AB168" s="30">
        <f>COUNTIFS('AT. MEDICAS 2024'!$A$9:$A$874,"26/07/2025",'AT. MEDICAS 2024'!$I$9:$I$874,B168)</f>
        <v>0</v>
      </c>
      <c r="AC168" s="30">
        <f>COUNTIFS('AT. MEDICAS 2024'!$A$9:$A$874,"27/07/2025",'AT. MEDICAS 2024'!$I$9:$I$874,B168)</f>
        <v>0</v>
      </c>
      <c r="AD168" s="30">
        <f>COUNTIFS('AT. MEDICAS 2024'!$A$9:$A$874,"28/07/2025",'AT. MEDICAS 2024'!$I$9:$I$874,B168)</f>
        <v>0</v>
      </c>
      <c r="AE168" s="30">
        <f>COUNTIFS('AT. MEDICAS 2024'!$A$9:$A$874,"29/07/2025",'AT. MEDICAS 2024'!$I$9:$I$874,B168)</f>
        <v>0</v>
      </c>
      <c r="AF168" s="30">
        <f>COUNTIFS('AT. MEDICAS 2024'!$A$9:$A$874,"30/07/2025",'AT. MEDICAS 2024'!$I$9:$I$874,B168)</f>
        <v>0</v>
      </c>
      <c r="AG168" s="30">
        <f>COUNTIFS('AT. MEDICAS 2024'!$A$9:$A$874,"31/07/2025",'AT. MEDICAS 2024'!$I$9:$I$874,B168)</f>
        <v>0</v>
      </c>
      <c r="AH168" s="55">
        <f t="shared" si="23"/>
        <v>0</v>
      </c>
    </row>
    <row r="169" spans="1:34" ht="13.8" thickBot="1" x14ac:dyDescent="0.3">
      <c r="A169" s="41">
        <v>9</v>
      </c>
      <c r="B169" s="54" t="s">
        <v>188</v>
      </c>
      <c r="C169" s="30">
        <f>COUNTIFS('AT. MEDICAS 2024'!$A$9:$A$874,"01/07/2025",'AT. MEDICAS 2024'!$I$9:$I$874,B169)</f>
        <v>0</v>
      </c>
      <c r="D169" s="30">
        <f>COUNTIFS('AT. MEDICAS 2024'!$A$9:$A$874,"02/07/2025",'AT. MEDICAS 2024'!$I$9:$I$874,B169)</f>
        <v>0</v>
      </c>
      <c r="E169" s="30">
        <f>COUNTIFS('AT. MEDICAS 2024'!$A$9:$A$874,"03/07/2025",'AT. MEDICAS 2024'!$I$9:$I$874,B169)</f>
        <v>0</v>
      </c>
      <c r="F169" s="30">
        <f>COUNTIFS('AT. MEDICAS 2024'!$A$9:$A$874,"04/07/2025",'AT. MEDICAS 2024'!$I$9:$I$874,B169)</f>
        <v>0</v>
      </c>
      <c r="G169" s="30">
        <f>COUNTIFS('AT. MEDICAS 2024'!$A$9:$A$874,"05/07/2025",'AT. MEDICAS 2024'!$I$9:$I$874,B169)</f>
        <v>0</v>
      </c>
      <c r="H169" s="30">
        <f>COUNTIFS('AT. MEDICAS 2024'!$A$9:$A$874,"06/07/2025",'AT. MEDICAS 2024'!$I$9:$I$874,B169)</f>
        <v>0</v>
      </c>
      <c r="I169" s="30">
        <f>COUNTIFS('AT. MEDICAS 2024'!$A$9:$A$874,"07/07/2025",'AT. MEDICAS 2024'!$I$9:$I$874,B169)</f>
        <v>0</v>
      </c>
      <c r="J169" s="30">
        <f>COUNTIFS('AT. MEDICAS 2024'!$A$9:$A$874,"08/07/2025",'AT. MEDICAS 2024'!$I$9:$I$874,B169)</f>
        <v>0</v>
      </c>
      <c r="K169" s="30">
        <f>COUNTIFS('AT. MEDICAS 2024'!$A$9:$A$874,"09/07/2025",'AT. MEDICAS 2024'!$I$9:$I$874,B169)</f>
        <v>0</v>
      </c>
      <c r="L169" s="30">
        <f>COUNTIFS('AT. MEDICAS 2024'!$A$9:$A$874,"10/07/2025",'AT. MEDICAS 2024'!$I$9:$I$874,B169)</f>
        <v>0</v>
      </c>
      <c r="M169" s="30">
        <f>COUNTIFS('AT. MEDICAS 2024'!$A$9:$A$874,"11/07/2025",'AT. MEDICAS 2024'!$I$9:$I$874,B169)</f>
        <v>0</v>
      </c>
      <c r="N169" s="30">
        <f>COUNTIFS('AT. MEDICAS 2024'!$A$9:$A$874,"12/07/2025",'AT. MEDICAS 2024'!$I$9:$I$874,B169)</f>
        <v>0</v>
      </c>
      <c r="O169" s="30">
        <f>COUNTIFS('AT. MEDICAS 2024'!$A$9:$A$874,"13/07/2025",'AT. MEDICAS 2024'!$I$9:$I$874,B169)</f>
        <v>0</v>
      </c>
      <c r="P169" s="30">
        <f>COUNTIFS('AT. MEDICAS 2024'!$A$9:$A$874,"14/07/2025",'AT. MEDICAS 2024'!$I$9:$I$874,B169)</f>
        <v>0</v>
      </c>
      <c r="Q169" s="30">
        <f>COUNTIFS('AT. MEDICAS 2024'!$A$9:$A$874,"15/07/2025",'AT. MEDICAS 2024'!$I$9:$I$874,B169)</f>
        <v>0</v>
      </c>
      <c r="R169" s="30">
        <f>COUNTIFS('AT. MEDICAS 2024'!$A$9:$A$874,"16/07/2025",'AT. MEDICAS 2024'!$I$9:$I$874,B169)</f>
        <v>0</v>
      </c>
      <c r="S169" s="30">
        <f>COUNTIFS('AT. MEDICAS 2024'!$A$9:$A$874,"17/07/2025",'AT. MEDICAS 2024'!$I$9:$I$874,B169)</f>
        <v>0</v>
      </c>
      <c r="T169" s="30">
        <f>COUNTIFS('AT. MEDICAS 2024'!$A$9:$A$874,"18/07/2025",'AT. MEDICAS 2024'!$I$9:$I$874,B169)</f>
        <v>0</v>
      </c>
      <c r="U169" s="30">
        <f>COUNTIFS('AT. MEDICAS 2024'!$A$9:$A$874,"19/07/2025",'AT. MEDICAS 2024'!$I$9:$I$874,B169)</f>
        <v>0</v>
      </c>
      <c r="V169" s="30">
        <f>COUNTIFS('AT. MEDICAS 2024'!$A$9:$A$874,"20/07/2025",'AT. MEDICAS 2024'!$I$9:$I$874,B169)</f>
        <v>0</v>
      </c>
      <c r="W169" s="30">
        <f>COUNTIFS('AT. MEDICAS 2024'!$A$9:$A$874,"21/07/2025",'AT. MEDICAS 2024'!$I$9:$I$874,B169)</f>
        <v>0</v>
      </c>
      <c r="X169" s="30">
        <f>COUNTIFS('AT. MEDICAS 2024'!$A$9:$A$874,"22/07/2025",'AT. MEDICAS 2024'!$I$9:$I$874,B169)</f>
        <v>0</v>
      </c>
      <c r="Y169" s="30">
        <f>COUNTIFS('AT. MEDICAS 2024'!$A$9:$A$874,"23/07/2025",'AT. MEDICAS 2024'!$I$9:$I$874,B169)</f>
        <v>0</v>
      </c>
      <c r="Z169" s="30">
        <f>COUNTIFS('AT. MEDICAS 2024'!$A$9:$A$874,"24/07/2025",'AT. MEDICAS 2024'!$I$9:$I$874,B169)</f>
        <v>0</v>
      </c>
      <c r="AA169" s="30">
        <f>COUNTIFS('AT. MEDICAS 2024'!$A$9:$A$874,"25/07/2025",'AT. MEDICAS 2024'!$I$9:$I$874,B169)</f>
        <v>0</v>
      </c>
      <c r="AB169" s="30">
        <f>COUNTIFS('AT. MEDICAS 2024'!$A$9:$A$874,"26/07/2025",'AT. MEDICAS 2024'!$I$9:$I$874,B169)</f>
        <v>0</v>
      </c>
      <c r="AC169" s="30">
        <f>COUNTIFS('AT. MEDICAS 2024'!$A$9:$A$874,"27/07/2025",'AT. MEDICAS 2024'!$I$9:$I$874,B169)</f>
        <v>0</v>
      </c>
      <c r="AD169" s="30">
        <f>COUNTIFS('AT. MEDICAS 2024'!$A$9:$A$874,"28/07/2025",'AT. MEDICAS 2024'!$I$9:$I$874,B169)</f>
        <v>0</v>
      </c>
      <c r="AE169" s="30">
        <f>COUNTIFS('AT. MEDICAS 2024'!$A$9:$A$874,"29/07/2025",'AT. MEDICAS 2024'!$I$9:$I$874,B169)</f>
        <v>0</v>
      </c>
      <c r="AF169" s="30">
        <f>COUNTIFS('AT. MEDICAS 2024'!$A$9:$A$874,"30/07/2025",'AT. MEDICAS 2024'!$I$9:$I$874,B169)</f>
        <v>0</v>
      </c>
      <c r="AG169" s="30">
        <f>COUNTIFS('AT. MEDICAS 2024'!$A$9:$A$874,"31/07/2025",'AT. MEDICAS 2024'!$I$9:$I$874,B169)</f>
        <v>0</v>
      </c>
      <c r="AH169" s="55">
        <f t="shared" si="23"/>
        <v>0</v>
      </c>
    </row>
    <row r="170" spans="1:34" ht="13.8" thickBot="1" x14ac:dyDescent="0.3">
      <c r="A170" s="41">
        <v>10</v>
      </c>
      <c r="B170" s="54" t="s">
        <v>97</v>
      </c>
      <c r="C170" s="30">
        <f>COUNTIFS('AT. MEDICAS 2024'!$A$9:$A$874,"01/07/2025",'AT. MEDICAS 2024'!$I$9:$I$874,B170)</f>
        <v>0</v>
      </c>
      <c r="D170" s="30">
        <f>COUNTIFS('AT. MEDICAS 2024'!$A$9:$A$874,"02/07/2025",'AT. MEDICAS 2024'!$I$9:$I$874,B170)</f>
        <v>0</v>
      </c>
      <c r="E170" s="30">
        <f>COUNTIFS('AT. MEDICAS 2024'!$A$9:$A$874,"03/07/2025",'AT. MEDICAS 2024'!$I$9:$I$874,B170)</f>
        <v>0</v>
      </c>
      <c r="F170" s="30">
        <f>COUNTIFS('AT. MEDICAS 2024'!$A$9:$A$874,"04/07/2025",'AT. MEDICAS 2024'!$I$9:$I$874,B170)</f>
        <v>0</v>
      </c>
      <c r="G170" s="30">
        <f>COUNTIFS('AT. MEDICAS 2024'!$A$9:$A$874,"05/07/2025",'AT. MEDICAS 2024'!$I$9:$I$874,B170)</f>
        <v>0</v>
      </c>
      <c r="H170" s="30">
        <f>COUNTIFS('AT. MEDICAS 2024'!$A$9:$A$874,"06/07/2025",'AT. MEDICAS 2024'!$I$9:$I$874,B170)</f>
        <v>0</v>
      </c>
      <c r="I170" s="30">
        <f>COUNTIFS('AT. MEDICAS 2024'!$A$9:$A$874,"07/07/2025",'AT. MEDICAS 2024'!$I$9:$I$874,B170)</f>
        <v>0</v>
      </c>
      <c r="J170" s="30">
        <f>COUNTIFS('AT. MEDICAS 2024'!$A$9:$A$874,"08/07/2025",'AT. MEDICAS 2024'!$I$9:$I$874,B170)</f>
        <v>0</v>
      </c>
      <c r="K170" s="30">
        <f>COUNTIFS('AT. MEDICAS 2024'!$A$9:$A$874,"09/07/2025",'AT. MEDICAS 2024'!$I$9:$I$874,B170)</f>
        <v>0</v>
      </c>
      <c r="L170" s="30">
        <f>COUNTIFS('AT. MEDICAS 2024'!$A$9:$A$874,"10/07/2025",'AT. MEDICAS 2024'!$I$9:$I$874,B170)</f>
        <v>0</v>
      </c>
      <c r="M170" s="30">
        <f>COUNTIFS('AT. MEDICAS 2024'!$A$9:$A$874,"11/07/2025",'AT. MEDICAS 2024'!$I$9:$I$874,B170)</f>
        <v>0</v>
      </c>
      <c r="N170" s="30">
        <f>COUNTIFS('AT. MEDICAS 2024'!$A$9:$A$874,"12/07/2025",'AT. MEDICAS 2024'!$I$9:$I$874,B170)</f>
        <v>0</v>
      </c>
      <c r="O170" s="30">
        <f>COUNTIFS('AT. MEDICAS 2024'!$A$9:$A$874,"13/07/2025",'AT. MEDICAS 2024'!$I$9:$I$874,B170)</f>
        <v>0</v>
      </c>
      <c r="P170" s="30">
        <f>COUNTIFS('AT. MEDICAS 2024'!$A$9:$A$874,"14/07/2025",'AT. MEDICAS 2024'!$I$9:$I$874,B170)</f>
        <v>0</v>
      </c>
      <c r="Q170" s="30">
        <f>COUNTIFS('AT. MEDICAS 2024'!$A$9:$A$874,"15/07/2025",'AT. MEDICAS 2024'!$I$9:$I$874,B170)</f>
        <v>0</v>
      </c>
      <c r="R170" s="30">
        <f>COUNTIFS('AT. MEDICAS 2024'!$A$9:$A$874,"16/07/2025",'AT. MEDICAS 2024'!$I$9:$I$874,B170)</f>
        <v>0</v>
      </c>
      <c r="S170" s="30">
        <f>COUNTIFS('AT. MEDICAS 2024'!$A$9:$A$874,"17/07/2025",'AT. MEDICAS 2024'!$I$9:$I$874,B170)</f>
        <v>0</v>
      </c>
      <c r="T170" s="30">
        <f>COUNTIFS('AT. MEDICAS 2024'!$A$9:$A$874,"18/07/2025",'AT. MEDICAS 2024'!$I$9:$I$874,B170)</f>
        <v>0</v>
      </c>
      <c r="U170" s="30">
        <f>COUNTIFS('AT. MEDICAS 2024'!$A$9:$A$874,"19/07/2025",'AT. MEDICAS 2024'!$I$9:$I$874,B170)</f>
        <v>0</v>
      </c>
      <c r="V170" s="30">
        <f>COUNTIFS('AT. MEDICAS 2024'!$A$9:$A$874,"20/07/2025",'AT. MEDICAS 2024'!$I$9:$I$874,B170)</f>
        <v>0</v>
      </c>
      <c r="W170" s="30">
        <f>COUNTIFS('AT. MEDICAS 2024'!$A$9:$A$874,"21/07/2025",'AT. MEDICAS 2024'!$I$9:$I$874,B170)</f>
        <v>0</v>
      </c>
      <c r="X170" s="30">
        <f>COUNTIFS('AT. MEDICAS 2024'!$A$9:$A$874,"22/07/2025",'AT. MEDICAS 2024'!$I$9:$I$874,B170)</f>
        <v>0</v>
      </c>
      <c r="Y170" s="30">
        <f>COUNTIFS('AT. MEDICAS 2024'!$A$9:$A$874,"23/07/2025",'AT. MEDICAS 2024'!$I$9:$I$874,B170)</f>
        <v>0</v>
      </c>
      <c r="Z170" s="30">
        <f>COUNTIFS('AT. MEDICAS 2024'!$A$9:$A$874,"24/07/2025",'AT. MEDICAS 2024'!$I$9:$I$874,B170)</f>
        <v>0</v>
      </c>
      <c r="AA170" s="30">
        <f>COUNTIFS('AT. MEDICAS 2024'!$A$9:$A$874,"25/07/2025",'AT. MEDICAS 2024'!$I$9:$I$874,B170)</f>
        <v>0</v>
      </c>
      <c r="AB170" s="30">
        <f>COUNTIFS('AT. MEDICAS 2024'!$A$9:$A$874,"26/07/2025",'AT. MEDICAS 2024'!$I$9:$I$874,B170)</f>
        <v>0</v>
      </c>
      <c r="AC170" s="30">
        <f>COUNTIFS('AT. MEDICAS 2024'!$A$9:$A$874,"27/07/2025",'AT. MEDICAS 2024'!$I$9:$I$874,B170)</f>
        <v>0</v>
      </c>
      <c r="AD170" s="30">
        <f>COUNTIFS('AT. MEDICAS 2024'!$A$9:$A$874,"28/07/2025",'AT. MEDICAS 2024'!$I$9:$I$874,B170)</f>
        <v>0</v>
      </c>
      <c r="AE170" s="30">
        <f>COUNTIFS('AT. MEDICAS 2024'!$A$9:$A$874,"29/07/2025",'AT. MEDICAS 2024'!$I$9:$I$874,B170)</f>
        <v>0</v>
      </c>
      <c r="AF170" s="30">
        <f>COUNTIFS('AT. MEDICAS 2024'!$A$9:$A$874,"30/07/2025",'AT. MEDICAS 2024'!$I$9:$I$874,B170)</f>
        <v>0</v>
      </c>
      <c r="AG170" s="30">
        <f>COUNTIFS('AT. MEDICAS 2024'!$A$9:$A$874,"31/07/2025",'AT. MEDICAS 2024'!$I$9:$I$874,B170)</f>
        <v>0</v>
      </c>
      <c r="AH170" s="55">
        <f t="shared" si="23"/>
        <v>0</v>
      </c>
    </row>
    <row r="171" spans="1:34" ht="13.8" thickBot="1" x14ac:dyDescent="0.3">
      <c r="A171" s="41">
        <v>11</v>
      </c>
      <c r="B171" s="54" t="s">
        <v>21</v>
      </c>
      <c r="C171" s="30">
        <f>COUNTIFS('AT. MEDICAS 2024'!$A$9:$A$874,"01/07/2025",'AT. MEDICAS 2024'!$I$9:$I$874,B171)</f>
        <v>0</v>
      </c>
      <c r="D171" s="30">
        <f>COUNTIFS('AT. MEDICAS 2024'!$A$9:$A$874,"02/07/2025",'AT. MEDICAS 2024'!$I$9:$I$874,B171)</f>
        <v>0</v>
      </c>
      <c r="E171" s="30">
        <f>COUNTIFS('AT. MEDICAS 2024'!$A$9:$A$874,"03/07/2025",'AT. MEDICAS 2024'!$I$9:$I$874,B171)</f>
        <v>0</v>
      </c>
      <c r="F171" s="30">
        <f>COUNTIFS('AT. MEDICAS 2024'!$A$9:$A$874,"04/07/2025",'AT. MEDICAS 2024'!$I$9:$I$874,B171)</f>
        <v>0</v>
      </c>
      <c r="G171" s="30">
        <f>COUNTIFS('AT. MEDICAS 2024'!$A$9:$A$874,"05/07/2025",'AT. MEDICAS 2024'!$I$9:$I$874,B171)</f>
        <v>0</v>
      </c>
      <c r="H171" s="30">
        <f>COUNTIFS('AT. MEDICAS 2024'!$A$9:$A$874,"06/07/2025",'AT. MEDICAS 2024'!$I$9:$I$874,B171)</f>
        <v>0</v>
      </c>
      <c r="I171" s="30">
        <f>COUNTIFS('AT. MEDICAS 2024'!$A$9:$A$874,"07/07/2025",'AT. MEDICAS 2024'!$I$9:$I$874,B171)</f>
        <v>0</v>
      </c>
      <c r="J171" s="30">
        <f>COUNTIFS('AT. MEDICAS 2024'!$A$9:$A$874,"08/07/2025",'AT. MEDICAS 2024'!$I$9:$I$874,B171)</f>
        <v>0</v>
      </c>
      <c r="K171" s="30">
        <f>COUNTIFS('AT. MEDICAS 2024'!$A$9:$A$874,"09/07/2025",'AT. MEDICAS 2024'!$I$9:$I$874,B171)</f>
        <v>0</v>
      </c>
      <c r="L171" s="30">
        <f>COUNTIFS('AT. MEDICAS 2024'!$A$9:$A$874,"10/07/2025",'AT. MEDICAS 2024'!$I$9:$I$874,B171)</f>
        <v>0</v>
      </c>
      <c r="M171" s="30">
        <f>COUNTIFS('AT. MEDICAS 2024'!$A$9:$A$874,"11/07/2025",'AT. MEDICAS 2024'!$I$9:$I$874,B171)</f>
        <v>0</v>
      </c>
      <c r="N171" s="30">
        <f>COUNTIFS('AT. MEDICAS 2024'!$A$9:$A$874,"12/07/2025",'AT. MEDICAS 2024'!$I$9:$I$874,B171)</f>
        <v>0</v>
      </c>
      <c r="O171" s="30">
        <f>COUNTIFS('AT. MEDICAS 2024'!$A$9:$A$874,"13/07/2025",'AT. MEDICAS 2024'!$I$9:$I$874,B171)</f>
        <v>0</v>
      </c>
      <c r="P171" s="30">
        <f>COUNTIFS('AT. MEDICAS 2024'!$A$9:$A$874,"14/07/2025",'AT. MEDICAS 2024'!$I$9:$I$874,B171)</f>
        <v>0</v>
      </c>
      <c r="Q171" s="30">
        <f>COUNTIFS('AT. MEDICAS 2024'!$A$9:$A$874,"15/07/2025",'AT. MEDICAS 2024'!$I$9:$I$874,B171)</f>
        <v>0</v>
      </c>
      <c r="R171" s="30">
        <f>COUNTIFS('AT. MEDICAS 2024'!$A$9:$A$874,"16/07/2025",'AT. MEDICAS 2024'!$I$9:$I$874,B171)</f>
        <v>0</v>
      </c>
      <c r="S171" s="30">
        <f>COUNTIFS('AT. MEDICAS 2024'!$A$9:$A$874,"17/07/2025",'AT. MEDICAS 2024'!$I$9:$I$874,B171)</f>
        <v>0</v>
      </c>
      <c r="T171" s="30">
        <f>COUNTIFS('AT. MEDICAS 2024'!$A$9:$A$874,"18/07/2025",'AT. MEDICAS 2024'!$I$9:$I$874,B171)</f>
        <v>0</v>
      </c>
      <c r="U171" s="30">
        <f>COUNTIFS('AT. MEDICAS 2024'!$A$9:$A$874,"19/07/2025",'AT. MEDICAS 2024'!$I$9:$I$874,B171)</f>
        <v>0</v>
      </c>
      <c r="V171" s="30">
        <f>COUNTIFS('AT. MEDICAS 2024'!$A$9:$A$874,"20/07/2025",'AT. MEDICAS 2024'!$I$9:$I$874,B171)</f>
        <v>0</v>
      </c>
      <c r="W171" s="30">
        <f>COUNTIFS('AT. MEDICAS 2024'!$A$9:$A$874,"21/07/2025",'AT. MEDICAS 2024'!$I$9:$I$874,B171)</f>
        <v>0</v>
      </c>
      <c r="X171" s="30">
        <f>COUNTIFS('AT. MEDICAS 2024'!$A$9:$A$874,"22/07/2025",'AT. MEDICAS 2024'!$I$9:$I$874,B171)</f>
        <v>0</v>
      </c>
      <c r="Y171" s="30">
        <f>COUNTIFS('AT. MEDICAS 2024'!$A$9:$A$874,"23/07/2025",'AT. MEDICAS 2024'!$I$9:$I$874,B171)</f>
        <v>0</v>
      </c>
      <c r="Z171" s="30">
        <f>COUNTIFS('AT. MEDICAS 2024'!$A$9:$A$874,"24/07/2025",'AT. MEDICAS 2024'!$I$9:$I$874,B171)</f>
        <v>0</v>
      </c>
      <c r="AA171" s="30">
        <f>COUNTIFS('AT. MEDICAS 2024'!$A$9:$A$874,"25/07/2025",'AT. MEDICAS 2024'!$I$9:$I$874,B171)</f>
        <v>0</v>
      </c>
      <c r="AB171" s="30">
        <f>COUNTIFS('AT. MEDICAS 2024'!$A$9:$A$874,"26/07/2025",'AT. MEDICAS 2024'!$I$9:$I$874,B171)</f>
        <v>0</v>
      </c>
      <c r="AC171" s="30">
        <f>COUNTIFS('AT. MEDICAS 2024'!$A$9:$A$874,"27/07/2025",'AT. MEDICAS 2024'!$I$9:$I$874,B171)</f>
        <v>0</v>
      </c>
      <c r="AD171" s="30">
        <f>COUNTIFS('AT. MEDICAS 2024'!$A$9:$A$874,"28/07/2025",'AT. MEDICAS 2024'!$I$9:$I$874,B171)</f>
        <v>0</v>
      </c>
      <c r="AE171" s="30">
        <f>COUNTIFS('AT. MEDICAS 2024'!$A$9:$A$874,"29/07/2025",'AT. MEDICAS 2024'!$I$9:$I$874,B171)</f>
        <v>0</v>
      </c>
      <c r="AF171" s="30">
        <f>COUNTIFS('AT. MEDICAS 2024'!$A$9:$A$874,"30/07/2025",'AT. MEDICAS 2024'!$I$9:$I$874,B171)</f>
        <v>0</v>
      </c>
      <c r="AG171" s="30">
        <f>COUNTIFS('AT. MEDICAS 2024'!$A$9:$A$874,"31/07/2025",'AT. MEDICAS 2024'!$I$9:$I$874,B171)</f>
        <v>0</v>
      </c>
      <c r="AH171" s="55">
        <f t="shared" si="23"/>
        <v>0</v>
      </c>
    </row>
    <row r="172" spans="1:34" ht="13.8" thickBot="1" x14ac:dyDescent="0.3">
      <c r="A172" s="41">
        <v>12</v>
      </c>
      <c r="B172" s="54" t="s">
        <v>23</v>
      </c>
      <c r="C172" s="30">
        <f>COUNTIFS('AT. MEDICAS 2024'!$A$9:$A$874,"01/07/2025",'AT. MEDICAS 2024'!$I$9:$I$874,B172)</f>
        <v>0</v>
      </c>
      <c r="D172" s="30">
        <f>COUNTIFS('AT. MEDICAS 2024'!$A$9:$A$874,"02/07/2025",'AT. MEDICAS 2024'!$I$9:$I$874,B172)</f>
        <v>0</v>
      </c>
      <c r="E172" s="30">
        <f>COUNTIFS('AT. MEDICAS 2024'!$A$9:$A$874,"03/07/2025",'AT. MEDICAS 2024'!$I$9:$I$874,B172)</f>
        <v>0</v>
      </c>
      <c r="F172" s="30">
        <f>COUNTIFS('AT. MEDICAS 2024'!$A$9:$A$874,"04/07/2025",'AT. MEDICAS 2024'!$I$9:$I$874,B172)</f>
        <v>0</v>
      </c>
      <c r="G172" s="30">
        <f>COUNTIFS('AT. MEDICAS 2024'!$A$9:$A$874,"05/07/2025",'AT. MEDICAS 2024'!$I$9:$I$874,B172)</f>
        <v>0</v>
      </c>
      <c r="H172" s="30">
        <f>COUNTIFS('AT. MEDICAS 2024'!$A$9:$A$874,"06/07/2025",'AT. MEDICAS 2024'!$I$9:$I$874,B172)</f>
        <v>0</v>
      </c>
      <c r="I172" s="30">
        <f>COUNTIFS('AT. MEDICAS 2024'!$A$9:$A$874,"07/07/2025",'AT. MEDICAS 2024'!$I$9:$I$874,B172)</f>
        <v>0</v>
      </c>
      <c r="J172" s="30">
        <f>COUNTIFS('AT. MEDICAS 2024'!$A$9:$A$874,"08/07/2025",'AT. MEDICAS 2024'!$I$9:$I$874,B172)</f>
        <v>0</v>
      </c>
      <c r="K172" s="30">
        <f>COUNTIFS('AT. MEDICAS 2024'!$A$9:$A$874,"09/07/2025",'AT. MEDICAS 2024'!$I$9:$I$874,B172)</f>
        <v>0</v>
      </c>
      <c r="L172" s="30">
        <f>COUNTIFS('AT. MEDICAS 2024'!$A$9:$A$874,"10/07/2025",'AT. MEDICAS 2024'!$I$9:$I$874,B172)</f>
        <v>0</v>
      </c>
      <c r="M172" s="30">
        <f>COUNTIFS('AT. MEDICAS 2024'!$A$9:$A$874,"11/07/2025",'AT. MEDICAS 2024'!$I$9:$I$874,B172)</f>
        <v>0</v>
      </c>
      <c r="N172" s="30">
        <f>COUNTIFS('AT. MEDICAS 2024'!$A$9:$A$874,"12/07/2025",'AT. MEDICAS 2024'!$I$9:$I$874,B172)</f>
        <v>0</v>
      </c>
      <c r="O172" s="30">
        <f>COUNTIFS('AT. MEDICAS 2024'!$A$9:$A$874,"13/07/2025",'AT. MEDICAS 2024'!$I$9:$I$874,B172)</f>
        <v>0</v>
      </c>
      <c r="P172" s="30">
        <f>COUNTIFS('AT. MEDICAS 2024'!$A$9:$A$874,"14/07/2025",'AT. MEDICAS 2024'!$I$9:$I$874,B172)</f>
        <v>0</v>
      </c>
      <c r="Q172" s="30">
        <f>COUNTIFS('AT. MEDICAS 2024'!$A$9:$A$874,"15/07/2025",'AT. MEDICAS 2024'!$I$9:$I$874,B172)</f>
        <v>0</v>
      </c>
      <c r="R172" s="30">
        <f>COUNTIFS('AT. MEDICAS 2024'!$A$9:$A$874,"16/07/2025",'AT. MEDICAS 2024'!$I$9:$I$874,B172)</f>
        <v>0</v>
      </c>
      <c r="S172" s="30">
        <f>COUNTIFS('AT. MEDICAS 2024'!$A$9:$A$874,"17/07/2025",'AT. MEDICAS 2024'!$I$9:$I$874,B172)</f>
        <v>0</v>
      </c>
      <c r="T172" s="30">
        <f>COUNTIFS('AT. MEDICAS 2024'!$A$9:$A$874,"18/07/2025",'AT. MEDICAS 2024'!$I$9:$I$874,B172)</f>
        <v>0</v>
      </c>
      <c r="U172" s="30">
        <f>COUNTIFS('AT. MEDICAS 2024'!$A$9:$A$874,"19/07/2025",'AT. MEDICAS 2024'!$I$9:$I$874,B172)</f>
        <v>0</v>
      </c>
      <c r="V172" s="30">
        <f>COUNTIFS('AT. MEDICAS 2024'!$A$9:$A$874,"20/07/2025",'AT. MEDICAS 2024'!$I$9:$I$874,B172)</f>
        <v>0</v>
      </c>
      <c r="W172" s="30">
        <f>COUNTIFS('AT. MEDICAS 2024'!$A$9:$A$874,"21/07/2025",'AT. MEDICAS 2024'!$I$9:$I$874,B172)</f>
        <v>0</v>
      </c>
      <c r="X172" s="30">
        <f>COUNTIFS('AT. MEDICAS 2024'!$A$9:$A$874,"22/07/2025",'AT. MEDICAS 2024'!$I$9:$I$874,B172)</f>
        <v>0</v>
      </c>
      <c r="Y172" s="30">
        <f>COUNTIFS('AT. MEDICAS 2024'!$A$9:$A$874,"23/07/2025",'AT. MEDICAS 2024'!$I$9:$I$874,B172)</f>
        <v>0</v>
      </c>
      <c r="Z172" s="30">
        <f>COUNTIFS('AT. MEDICAS 2024'!$A$9:$A$874,"24/07/2025",'AT. MEDICAS 2024'!$I$9:$I$874,B172)</f>
        <v>0</v>
      </c>
      <c r="AA172" s="30">
        <f>COUNTIFS('AT. MEDICAS 2024'!$A$9:$A$874,"25/07/2025",'AT. MEDICAS 2024'!$I$9:$I$874,B172)</f>
        <v>0</v>
      </c>
      <c r="AB172" s="30">
        <f>COUNTIFS('AT. MEDICAS 2024'!$A$9:$A$874,"26/07/2025",'AT. MEDICAS 2024'!$I$9:$I$874,B172)</f>
        <v>0</v>
      </c>
      <c r="AC172" s="30">
        <f>COUNTIFS('AT. MEDICAS 2024'!$A$9:$A$874,"27/07/2025",'AT. MEDICAS 2024'!$I$9:$I$874,B172)</f>
        <v>0</v>
      </c>
      <c r="AD172" s="30">
        <f>COUNTIFS('AT. MEDICAS 2024'!$A$9:$A$874,"28/07/2025",'AT. MEDICAS 2024'!$I$9:$I$874,B172)</f>
        <v>0</v>
      </c>
      <c r="AE172" s="30">
        <f>COUNTIFS('AT. MEDICAS 2024'!$A$9:$A$874,"29/07/2025",'AT. MEDICAS 2024'!$I$9:$I$874,B172)</f>
        <v>0</v>
      </c>
      <c r="AF172" s="30">
        <f>COUNTIFS('AT. MEDICAS 2024'!$A$9:$A$874,"30/07/2025",'AT. MEDICAS 2024'!$I$9:$I$874,B172)</f>
        <v>0</v>
      </c>
      <c r="AG172" s="30">
        <f>COUNTIFS('AT. MEDICAS 2024'!$A$9:$A$874,"31/07/2025",'AT. MEDICAS 2024'!$I$9:$I$874,B172)</f>
        <v>0</v>
      </c>
      <c r="AH172" s="55">
        <f t="shared" si="23"/>
        <v>0</v>
      </c>
    </row>
    <row r="173" spans="1:34" ht="13.8" thickBot="1" x14ac:dyDescent="0.3">
      <c r="A173" s="41">
        <v>13</v>
      </c>
      <c r="B173" s="54" t="s">
        <v>57</v>
      </c>
      <c r="C173" s="30">
        <f>COUNTIFS('AT. MEDICAS 2024'!$A$9:$A$874,"01/07/2025",'AT. MEDICAS 2024'!$I$9:$I$874,B173)</f>
        <v>0</v>
      </c>
      <c r="D173" s="30">
        <f>COUNTIFS('AT. MEDICAS 2024'!$A$9:$A$874,"02/07/2025",'AT. MEDICAS 2024'!$I$9:$I$874,B173)</f>
        <v>0</v>
      </c>
      <c r="E173" s="30">
        <f>COUNTIFS('AT. MEDICAS 2024'!$A$9:$A$874,"03/07/2025",'AT. MEDICAS 2024'!$I$9:$I$874,B173)</f>
        <v>0</v>
      </c>
      <c r="F173" s="30">
        <f>COUNTIFS('AT. MEDICAS 2024'!$A$9:$A$874,"04/07/2025",'AT. MEDICAS 2024'!$I$9:$I$874,B173)</f>
        <v>0</v>
      </c>
      <c r="G173" s="30">
        <f>COUNTIFS('AT. MEDICAS 2024'!$A$9:$A$874,"05/07/2025",'AT. MEDICAS 2024'!$I$9:$I$874,B173)</f>
        <v>0</v>
      </c>
      <c r="H173" s="30">
        <f>COUNTIFS('AT. MEDICAS 2024'!$A$9:$A$874,"06/07/2025",'AT. MEDICAS 2024'!$I$9:$I$874,B173)</f>
        <v>0</v>
      </c>
      <c r="I173" s="30">
        <f>COUNTIFS('AT. MEDICAS 2024'!$A$9:$A$874,"07/07/2025",'AT. MEDICAS 2024'!$I$9:$I$874,B173)</f>
        <v>0</v>
      </c>
      <c r="J173" s="30">
        <f>COUNTIFS('AT. MEDICAS 2024'!$A$9:$A$874,"08/07/2025",'AT. MEDICAS 2024'!$I$9:$I$874,B173)</f>
        <v>0</v>
      </c>
      <c r="K173" s="30">
        <f>COUNTIFS('AT. MEDICAS 2024'!$A$9:$A$874,"09/07/2025",'AT. MEDICAS 2024'!$I$9:$I$874,B173)</f>
        <v>0</v>
      </c>
      <c r="L173" s="30">
        <f>COUNTIFS('AT. MEDICAS 2024'!$A$9:$A$874,"10/07/2025",'AT. MEDICAS 2024'!$I$9:$I$874,B173)</f>
        <v>0</v>
      </c>
      <c r="M173" s="30">
        <f>COUNTIFS('AT. MEDICAS 2024'!$A$9:$A$874,"11/07/2025",'AT. MEDICAS 2024'!$I$9:$I$874,B173)</f>
        <v>0</v>
      </c>
      <c r="N173" s="30">
        <f>COUNTIFS('AT. MEDICAS 2024'!$A$9:$A$874,"12/07/2025",'AT. MEDICAS 2024'!$I$9:$I$874,B173)</f>
        <v>0</v>
      </c>
      <c r="O173" s="30">
        <f>COUNTIFS('AT. MEDICAS 2024'!$A$9:$A$874,"13/07/2025",'AT. MEDICAS 2024'!$I$9:$I$874,B173)</f>
        <v>0</v>
      </c>
      <c r="P173" s="30">
        <f>COUNTIFS('AT. MEDICAS 2024'!$A$9:$A$874,"14/07/2025",'AT. MEDICAS 2024'!$I$9:$I$874,B173)</f>
        <v>0</v>
      </c>
      <c r="Q173" s="30">
        <f>COUNTIFS('AT. MEDICAS 2024'!$A$9:$A$874,"15/07/2025",'AT. MEDICAS 2024'!$I$9:$I$874,B173)</f>
        <v>0</v>
      </c>
      <c r="R173" s="30">
        <f>COUNTIFS('AT. MEDICAS 2024'!$A$9:$A$874,"16/07/2025",'AT. MEDICAS 2024'!$I$9:$I$874,B173)</f>
        <v>0</v>
      </c>
      <c r="S173" s="30">
        <f>COUNTIFS('AT. MEDICAS 2024'!$A$9:$A$874,"17/07/2025",'AT. MEDICAS 2024'!$I$9:$I$874,B173)</f>
        <v>0</v>
      </c>
      <c r="T173" s="30">
        <f>COUNTIFS('AT. MEDICAS 2024'!$A$9:$A$874,"18/07/2025",'AT. MEDICAS 2024'!$I$9:$I$874,B173)</f>
        <v>0</v>
      </c>
      <c r="U173" s="30">
        <f>COUNTIFS('AT. MEDICAS 2024'!$A$9:$A$874,"19/07/2025",'AT. MEDICAS 2024'!$I$9:$I$874,B173)</f>
        <v>0</v>
      </c>
      <c r="V173" s="30">
        <f>COUNTIFS('AT. MEDICAS 2024'!$A$9:$A$874,"20/07/2025",'AT. MEDICAS 2024'!$I$9:$I$874,B173)</f>
        <v>0</v>
      </c>
      <c r="W173" s="30">
        <f>COUNTIFS('AT. MEDICAS 2024'!$A$9:$A$874,"21/07/2025",'AT. MEDICAS 2024'!$I$9:$I$874,B173)</f>
        <v>0</v>
      </c>
      <c r="X173" s="30">
        <f>COUNTIFS('AT. MEDICAS 2024'!$A$9:$A$874,"22/07/2025",'AT. MEDICAS 2024'!$I$9:$I$874,B173)</f>
        <v>0</v>
      </c>
      <c r="Y173" s="30">
        <f>COUNTIFS('AT. MEDICAS 2024'!$A$9:$A$874,"23/07/2025",'AT. MEDICAS 2024'!$I$9:$I$874,B173)</f>
        <v>0</v>
      </c>
      <c r="Z173" s="30">
        <f>COUNTIFS('AT. MEDICAS 2024'!$A$9:$A$874,"24/07/2025",'AT. MEDICAS 2024'!$I$9:$I$874,B173)</f>
        <v>0</v>
      </c>
      <c r="AA173" s="30">
        <f>COUNTIFS('AT. MEDICAS 2024'!$A$9:$A$874,"25/07/2025",'AT. MEDICAS 2024'!$I$9:$I$874,B173)</f>
        <v>0</v>
      </c>
      <c r="AB173" s="30">
        <f>COUNTIFS('AT. MEDICAS 2024'!$A$9:$A$874,"26/07/2025",'AT. MEDICAS 2024'!$I$9:$I$874,B173)</f>
        <v>0</v>
      </c>
      <c r="AC173" s="30">
        <f>COUNTIFS('AT. MEDICAS 2024'!$A$9:$A$874,"27/07/2025",'AT. MEDICAS 2024'!$I$9:$I$874,B173)</f>
        <v>0</v>
      </c>
      <c r="AD173" s="30">
        <f>COUNTIFS('AT. MEDICAS 2024'!$A$9:$A$874,"28/07/2025",'AT. MEDICAS 2024'!$I$9:$I$874,B173)</f>
        <v>0</v>
      </c>
      <c r="AE173" s="30">
        <f>COUNTIFS('AT. MEDICAS 2024'!$A$9:$A$874,"29/07/2025",'AT. MEDICAS 2024'!$I$9:$I$874,B173)</f>
        <v>0</v>
      </c>
      <c r="AF173" s="30">
        <f>COUNTIFS('AT. MEDICAS 2024'!$A$9:$A$874,"30/07/2025",'AT. MEDICAS 2024'!$I$9:$I$874,B173)</f>
        <v>0</v>
      </c>
      <c r="AG173" s="30">
        <f>COUNTIFS('AT. MEDICAS 2024'!$A$9:$A$874,"31/07/2025",'AT. MEDICAS 2024'!$I$9:$I$874,B173)</f>
        <v>0</v>
      </c>
      <c r="AH173" s="55">
        <f t="shared" si="23"/>
        <v>0</v>
      </c>
    </row>
    <row r="174" spans="1:34" ht="13.8" thickBot="1" x14ac:dyDescent="0.3">
      <c r="A174" s="41">
        <v>14</v>
      </c>
      <c r="B174" s="54" t="s">
        <v>66</v>
      </c>
      <c r="C174" s="30">
        <f>COUNTIFS('AT. MEDICAS 2024'!$A$9:$A$874,"01/07/2025",'AT. MEDICAS 2024'!$I$9:$I$874,B174)</f>
        <v>0</v>
      </c>
      <c r="D174" s="30">
        <f>COUNTIFS('AT. MEDICAS 2024'!$A$9:$A$874,"02/07/2025",'AT. MEDICAS 2024'!$I$9:$I$874,B174)</f>
        <v>0</v>
      </c>
      <c r="E174" s="30">
        <f>COUNTIFS('AT. MEDICAS 2024'!$A$9:$A$874,"03/07/2025",'AT. MEDICAS 2024'!$I$9:$I$874,B174)</f>
        <v>0</v>
      </c>
      <c r="F174" s="30">
        <f>COUNTIFS('AT. MEDICAS 2024'!$A$9:$A$874,"04/07/2025",'AT. MEDICAS 2024'!$I$9:$I$874,B174)</f>
        <v>0</v>
      </c>
      <c r="G174" s="30">
        <f>COUNTIFS('AT. MEDICAS 2024'!$A$9:$A$874,"05/07/2025",'AT. MEDICAS 2024'!$I$9:$I$874,B174)</f>
        <v>0</v>
      </c>
      <c r="H174" s="30">
        <f>COUNTIFS('AT. MEDICAS 2024'!$A$9:$A$874,"06/07/2025",'AT. MEDICAS 2024'!$I$9:$I$874,B174)</f>
        <v>0</v>
      </c>
      <c r="I174" s="30">
        <f>COUNTIFS('AT. MEDICAS 2024'!$A$9:$A$874,"07/07/2025",'AT. MEDICAS 2024'!$I$9:$I$874,B174)</f>
        <v>0</v>
      </c>
      <c r="J174" s="30">
        <f>COUNTIFS('AT. MEDICAS 2024'!$A$9:$A$874,"08/07/2025",'AT. MEDICAS 2024'!$I$9:$I$874,B174)</f>
        <v>0</v>
      </c>
      <c r="K174" s="30">
        <f>COUNTIFS('AT. MEDICAS 2024'!$A$9:$A$874,"09/07/2025",'AT. MEDICAS 2024'!$I$9:$I$874,B174)</f>
        <v>0</v>
      </c>
      <c r="L174" s="30">
        <f>COUNTIFS('AT. MEDICAS 2024'!$A$9:$A$874,"10/07/2025",'AT. MEDICAS 2024'!$I$9:$I$874,B174)</f>
        <v>0</v>
      </c>
      <c r="M174" s="30">
        <f>COUNTIFS('AT. MEDICAS 2024'!$A$9:$A$874,"11/07/2025",'AT. MEDICAS 2024'!$I$9:$I$874,B174)</f>
        <v>0</v>
      </c>
      <c r="N174" s="30">
        <f>COUNTIFS('AT. MEDICAS 2024'!$A$9:$A$874,"12/07/2025",'AT. MEDICAS 2024'!$I$9:$I$874,B174)</f>
        <v>0</v>
      </c>
      <c r="O174" s="30">
        <f>COUNTIFS('AT. MEDICAS 2024'!$A$9:$A$874,"13/07/2025",'AT. MEDICAS 2024'!$I$9:$I$874,B174)</f>
        <v>0</v>
      </c>
      <c r="P174" s="30">
        <f>COUNTIFS('AT. MEDICAS 2024'!$A$9:$A$874,"14/07/2025",'AT. MEDICAS 2024'!$I$9:$I$874,B174)</f>
        <v>0</v>
      </c>
      <c r="Q174" s="30">
        <f>COUNTIFS('AT. MEDICAS 2024'!$A$9:$A$874,"15/07/2025",'AT. MEDICAS 2024'!$I$9:$I$874,B174)</f>
        <v>0</v>
      </c>
      <c r="R174" s="30">
        <f>COUNTIFS('AT. MEDICAS 2024'!$A$9:$A$874,"16/07/2025",'AT. MEDICAS 2024'!$I$9:$I$874,B174)</f>
        <v>0</v>
      </c>
      <c r="S174" s="30">
        <f>COUNTIFS('AT. MEDICAS 2024'!$A$9:$A$874,"17/07/2025",'AT. MEDICAS 2024'!$I$9:$I$874,B174)</f>
        <v>0</v>
      </c>
      <c r="T174" s="30">
        <f>COUNTIFS('AT. MEDICAS 2024'!$A$9:$A$874,"18/07/2025",'AT. MEDICAS 2024'!$I$9:$I$874,B174)</f>
        <v>0</v>
      </c>
      <c r="U174" s="30">
        <f>COUNTIFS('AT. MEDICAS 2024'!$A$9:$A$874,"19/07/2025",'AT. MEDICAS 2024'!$I$9:$I$874,B174)</f>
        <v>0</v>
      </c>
      <c r="V174" s="30">
        <f>COUNTIFS('AT. MEDICAS 2024'!$A$9:$A$874,"20/07/2025",'AT. MEDICAS 2024'!$I$9:$I$874,B174)</f>
        <v>0</v>
      </c>
      <c r="W174" s="30">
        <f>COUNTIFS('AT. MEDICAS 2024'!$A$9:$A$874,"21/07/2025",'AT. MEDICAS 2024'!$I$9:$I$874,B174)</f>
        <v>0</v>
      </c>
      <c r="X174" s="30">
        <f>COUNTIFS('AT. MEDICAS 2024'!$A$9:$A$874,"22/07/2025",'AT. MEDICAS 2024'!$I$9:$I$874,B174)</f>
        <v>0</v>
      </c>
      <c r="Y174" s="30">
        <f>COUNTIFS('AT. MEDICAS 2024'!$A$9:$A$874,"23/07/2025",'AT. MEDICAS 2024'!$I$9:$I$874,B174)</f>
        <v>0</v>
      </c>
      <c r="Z174" s="30">
        <f>COUNTIFS('AT. MEDICAS 2024'!$A$9:$A$874,"24/07/2025",'AT. MEDICAS 2024'!$I$9:$I$874,B174)</f>
        <v>0</v>
      </c>
      <c r="AA174" s="30">
        <f>COUNTIFS('AT. MEDICAS 2024'!$A$9:$A$874,"25/07/2025",'AT. MEDICAS 2024'!$I$9:$I$874,B174)</f>
        <v>0</v>
      </c>
      <c r="AB174" s="30">
        <f>COUNTIFS('AT. MEDICAS 2024'!$A$9:$A$874,"26/07/2025",'AT. MEDICAS 2024'!$I$9:$I$874,B174)</f>
        <v>0</v>
      </c>
      <c r="AC174" s="30">
        <f>COUNTIFS('AT. MEDICAS 2024'!$A$9:$A$874,"27/07/2025",'AT. MEDICAS 2024'!$I$9:$I$874,B174)</f>
        <v>0</v>
      </c>
      <c r="AD174" s="30">
        <f>COUNTIFS('AT. MEDICAS 2024'!$A$9:$A$874,"28/07/2025",'AT. MEDICAS 2024'!$I$9:$I$874,B174)</f>
        <v>0</v>
      </c>
      <c r="AE174" s="30">
        <f>COUNTIFS('AT. MEDICAS 2024'!$A$9:$A$874,"29/07/2025",'AT. MEDICAS 2024'!$I$9:$I$874,B174)</f>
        <v>0</v>
      </c>
      <c r="AF174" s="30">
        <f>COUNTIFS('AT. MEDICAS 2024'!$A$9:$A$874,"30/07/2025",'AT. MEDICAS 2024'!$I$9:$I$874,B174)</f>
        <v>0</v>
      </c>
      <c r="AG174" s="30">
        <f>COUNTIFS('AT. MEDICAS 2024'!$A$9:$A$874,"31/07/2025",'AT. MEDICAS 2024'!$I$9:$I$874,B174)</f>
        <v>0</v>
      </c>
      <c r="AH174" s="55">
        <f t="shared" si="23"/>
        <v>0</v>
      </c>
    </row>
    <row r="175" spans="1:34" ht="13.8" thickBot="1" x14ac:dyDescent="0.3">
      <c r="A175" s="41">
        <v>15</v>
      </c>
      <c r="B175" s="54" t="s">
        <v>189</v>
      </c>
      <c r="C175" s="30">
        <f>COUNTIFS('AT. MEDICAS 2024'!$A$9:$A$874,"01/07/2025",'AT. MEDICAS 2024'!$I$9:$I$874,B175)</f>
        <v>0</v>
      </c>
      <c r="D175" s="30">
        <f>COUNTIFS('AT. MEDICAS 2024'!$A$9:$A$874,"02/07/2025",'AT. MEDICAS 2024'!$I$9:$I$874,B175)</f>
        <v>0</v>
      </c>
      <c r="E175" s="30">
        <f>COUNTIFS('AT. MEDICAS 2024'!$A$9:$A$874,"03/07/2025",'AT. MEDICAS 2024'!$I$9:$I$874,B175)</f>
        <v>0</v>
      </c>
      <c r="F175" s="30">
        <f>COUNTIFS('AT. MEDICAS 2024'!$A$9:$A$874,"04/07/2025",'AT. MEDICAS 2024'!$I$9:$I$874,B175)</f>
        <v>0</v>
      </c>
      <c r="G175" s="30">
        <f>COUNTIFS('AT. MEDICAS 2024'!$A$9:$A$874,"05/07/2025",'AT. MEDICAS 2024'!$I$9:$I$874,B175)</f>
        <v>0</v>
      </c>
      <c r="H175" s="30">
        <f>COUNTIFS('AT. MEDICAS 2024'!$A$9:$A$874,"06/07/2025",'AT. MEDICAS 2024'!$I$9:$I$874,B175)</f>
        <v>0</v>
      </c>
      <c r="I175" s="30">
        <f>COUNTIFS('AT. MEDICAS 2024'!$A$9:$A$874,"07/07/2025",'AT. MEDICAS 2024'!$I$9:$I$874,B175)</f>
        <v>0</v>
      </c>
      <c r="J175" s="30">
        <f>COUNTIFS('AT. MEDICAS 2024'!$A$9:$A$874,"08/07/2025",'AT. MEDICAS 2024'!$I$9:$I$874,B175)</f>
        <v>0</v>
      </c>
      <c r="K175" s="30">
        <f>COUNTIFS('AT. MEDICAS 2024'!$A$9:$A$874,"09/07/2025",'AT. MEDICAS 2024'!$I$9:$I$874,B175)</f>
        <v>0</v>
      </c>
      <c r="L175" s="30">
        <f>COUNTIFS('AT. MEDICAS 2024'!$A$9:$A$874,"10/07/2025",'AT. MEDICAS 2024'!$I$9:$I$874,B175)</f>
        <v>0</v>
      </c>
      <c r="M175" s="30">
        <f>COUNTIFS('AT. MEDICAS 2024'!$A$9:$A$874,"11/07/2025",'AT. MEDICAS 2024'!$I$9:$I$874,B175)</f>
        <v>0</v>
      </c>
      <c r="N175" s="30">
        <f>COUNTIFS('AT. MEDICAS 2024'!$A$9:$A$874,"12/07/2025",'AT. MEDICAS 2024'!$I$9:$I$874,B175)</f>
        <v>0</v>
      </c>
      <c r="O175" s="30">
        <f>COUNTIFS('AT. MEDICAS 2024'!$A$9:$A$874,"13/07/2025",'AT. MEDICAS 2024'!$I$9:$I$874,B175)</f>
        <v>0</v>
      </c>
      <c r="P175" s="30">
        <f>COUNTIFS('AT. MEDICAS 2024'!$A$9:$A$874,"14/07/2025",'AT. MEDICAS 2024'!$I$9:$I$874,B175)</f>
        <v>0</v>
      </c>
      <c r="Q175" s="30">
        <f>COUNTIFS('AT. MEDICAS 2024'!$A$9:$A$874,"15/07/2025",'AT. MEDICAS 2024'!$I$9:$I$874,B175)</f>
        <v>0</v>
      </c>
      <c r="R175" s="30">
        <f>COUNTIFS('AT. MEDICAS 2024'!$A$9:$A$874,"16/07/2025",'AT. MEDICAS 2024'!$I$9:$I$874,B175)</f>
        <v>0</v>
      </c>
      <c r="S175" s="30">
        <f>COUNTIFS('AT. MEDICAS 2024'!$A$9:$A$874,"17/07/2025",'AT. MEDICAS 2024'!$I$9:$I$874,B175)</f>
        <v>0</v>
      </c>
      <c r="T175" s="30">
        <f>COUNTIFS('AT. MEDICAS 2024'!$A$9:$A$874,"18/07/2025",'AT. MEDICAS 2024'!$I$9:$I$874,B175)</f>
        <v>0</v>
      </c>
      <c r="U175" s="30">
        <f>COUNTIFS('AT. MEDICAS 2024'!$A$9:$A$874,"19/07/2025",'AT. MEDICAS 2024'!$I$9:$I$874,B175)</f>
        <v>0</v>
      </c>
      <c r="V175" s="30">
        <f>COUNTIFS('AT. MEDICAS 2024'!$A$9:$A$874,"20/07/2025",'AT. MEDICAS 2024'!$I$9:$I$874,B175)</f>
        <v>0</v>
      </c>
      <c r="W175" s="30">
        <f>COUNTIFS('AT. MEDICAS 2024'!$A$9:$A$874,"21/07/2025",'AT. MEDICAS 2024'!$I$9:$I$874,B175)</f>
        <v>0</v>
      </c>
      <c r="X175" s="30">
        <f>COUNTIFS('AT. MEDICAS 2024'!$A$9:$A$874,"22/07/2025",'AT. MEDICAS 2024'!$I$9:$I$874,B175)</f>
        <v>0</v>
      </c>
      <c r="Y175" s="30">
        <f>COUNTIFS('AT. MEDICAS 2024'!$A$9:$A$874,"23/07/2025",'AT. MEDICAS 2024'!$I$9:$I$874,B175)</f>
        <v>0</v>
      </c>
      <c r="Z175" s="30">
        <f>COUNTIFS('AT. MEDICAS 2024'!$A$9:$A$874,"24/07/2025",'AT. MEDICAS 2024'!$I$9:$I$874,B175)</f>
        <v>0</v>
      </c>
      <c r="AA175" s="30">
        <f>COUNTIFS('AT. MEDICAS 2024'!$A$9:$A$874,"25/07/2025",'AT. MEDICAS 2024'!$I$9:$I$874,B175)</f>
        <v>0</v>
      </c>
      <c r="AB175" s="30">
        <f>COUNTIFS('AT. MEDICAS 2024'!$A$9:$A$874,"26/07/2025",'AT. MEDICAS 2024'!$I$9:$I$874,B175)</f>
        <v>0</v>
      </c>
      <c r="AC175" s="30">
        <f>COUNTIFS('AT. MEDICAS 2024'!$A$9:$A$874,"27/07/2025",'AT. MEDICAS 2024'!$I$9:$I$874,B175)</f>
        <v>0</v>
      </c>
      <c r="AD175" s="30">
        <f>COUNTIFS('AT. MEDICAS 2024'!$A$9:$A$874,"28/07/2025",'AT. MEDICAS 2024'!$I$9:$I$874,B175)</f>
        <v>0</v>
      </c>
      <c r="AE175" s="30">
        <f>COUNTIFS('AT. MEDICAS 2024'!$A$9:$A$874,"29/07/2025",'AT. MEDICAS 2024'!$I$9:$I$874,B175)</f>
        <v>0</v>
      </c>
      <c r="AF175" s="30">
        <f>COUNTIFS('AT. MEDICAS 2024'!$A$9:$A$874,"30/07/2025",'AT. MEDICAS 2024'!$I$9:$I$874,B175)</f>
        <v>0</v>
      </c>
      <c r="AG175" s="30">
        <f>COUNTIFS('AT. MEDICAS 2024'!$A$9:$A$874,"31/07/2025",'AT. MEDICAS 2024'!$I$9:$I$874,B175)</f>
        <v>0</v>
      </c>
      <c r="AH175" s="55">
        <f t="shared" si="23"/>
        <v>0</v>
      </c>
    </row>
    <row r="176" spans="1:34" ht="13.8" thickBot="1" x14ac:dyDescent="0.3">
      <c r="A176" s="41">
        <v>16</v>
      </c>
      <c r="B176" s="54" t="s">
        <v>14</v>
      </c>
      <c r="C176" s="30">
        <f>COUNTIFS('AT. MEDICAS 2024'!$A$9:$A$874,"01/07/2025",'AT. MEDICAS 2024'!$I$9:$I$874,B176)</f>
        <v>0</v>
      </c>
      <c r="D176" s="30">
        <f>COUNTIFS('AT. MEDICAS 2024'!$A$9:$A$874,"02/07/2025",'AT. MEDICAS 2024'!$I$9:$I$874,B176)</f>
        <v>0</v>
      </c>
      <c r="E176" s="30">
        <f>COUNTIFS('AT. MEDICAS 2024'!$A$9:$A$874,"03/07/2025",'AT. MEDICAS 2024'!$I$9:$I$874,B176)</f>
        <v>0</v>
      </c>
      <c r="F176" s="30">
        <f>COUNTIFS('AT. MEDICAS 2024'!$A$9:$A$874,"04/07/2025",'AT. MEDICAS 2024'!$I$9:$I$874,B176)</f>
        <v>0</v>
      </c>
      <c r="G176" s="30">
        <f>COUNTIFS('AT. MEDICAS 2024'!$A$9:$A$874,"05/07/2025",'AT. MEDICAS 2024'!$I$9:$I$874,B176)</f>
        <v>0</v>
      </c>
      <c r="H176" s="30">
        <f>COUNTIFS('AT. MEDICAS 2024'!$A$9:$A$874,"06/07/2025",'AT. MEDICAS 2024'!$I$9:$I$874,B176)</f>
        <v>0</v>
      </c>
      <c r="I176" s="30">
        <f>COUNTIFS('AT. MEDICAS 2024'!$A$9:$A$874,"07/07/2025",'AT. MEDICAS 2024'!$I$9:$I$874,B176)</f>
        <v>0</v>
      </c>
      <c r="J176" s="30">
        <f>COUNTIFS('AT. MEDICAS 2024'!$A$9:$A$874,"08/07/2025",'AT. MEDICAS 2024'!$I$9:$I$874,B176)</f>
        <v>0</v>
      </c>
      <c r="K176" s="30">
        <f>COUNTIFS('AT. MEDICAS 2024'!$A$9:$A$874,"09/07/2025",'AT. MEDICAS 2024'!$I$9:$I$874,B176)</f>
        <v>0</v>
      </c>
      <c r="L176" s="30">
        <f>COUNTIFS('AT. MEDICAS 2024'!$A$9:$A$874,"10/07/2025",'AT. MEDICAS 2024'!$I$9:$I$874,B176)</f>
        <v>0</v>
      </c>
      <c r="M176" s="30">
        <f>COUNTIFS('AT. MEDICAS 2024'!$A$9:$A$874,"11/07/2025",'AT. MEDICAS 2024'!$I$9:$I$874,B176)</f>
        <v>0</v>
      </c>
      <c r="N176" s="30">
        <f>COUNTIFS('AT. MEDICAS 2024'!$A$9:$A$874,"12/07/2025",'AT. MEDICAS 2024'!$I$9:$I$874,B176)</f>
        <v>0</v>
      </c>
      <c r="O176" s="30">
        <f>COUNTIFS('AT. MEDICAS 2024'!$A$9:$A$874,"13/07/2025",'AT. MEDICAS 2024'!$I$9:$I$874,B176)</f>
        <v>0</v>
      </c>
      <c r="P176" s="30">
        <f>COUNTIFS('AT. MEDICAS 2024'!$A$9:$A$874,"14/07/2025",'AT. MEDICAS 2024'!$I$9:$I$874,B176)</f>
        <v>0</v>
      </c>
      <c r="Q176" s="30">
        <f>COUNTIFS('AT. MEDICAS 2024'!$A$9:$A$874,"15/07/2025",'AT. MEDICAS 2024'!$I$9:$I$874,B176)</f>
        <v>0</v>
      </c>
      <c r="R176" s="30">
        <f>COUNTIFS('AT. MEDICAS 2024'!$A$9:$A$874,"16/07/2025",'AT. MEDICAS 2024'!$I$9:$I$874,B176)</f>
        <v>0</v>
      </c>
      <c r="S176" s="30">
        <f>COUNTIFS('AT. MEDICAS 2024'!$A$9:$A$874,"17/07/2025",'AT. MEDICAS 2024'!$I$9:$I$874,B176)</f>
        <v>0</v>
      </c>
      <c r="T176" s="30">
        <f>COUNTIFS('AT. MEDICAS 2024'!$A$9:$A$874,"18/07/2025",'AT. MEDICAS 2024'!$I$9:$I$874,B176)</f>
        <v>0</v>
      </c>
      <c r="U176" s="30">
        <f>COUNTIFS('AT. MEDICAS 2024'!$A$9:$A$874,"19/07/2025",'AT. MEDICAS 2024'!$I$9:$I$874,B176)</f>
        <v>0</v>
      </c>
      <c r="V176" s="30">
        <f>COUNTIFS('AT. MEDICAS 2024'!$A$9:$A$874,"20/07/2025",'AT. MEDICAS 2024'!$I$9:$I$874,B176)</f>
        <v>0</v>
      </c>
      <c r="W176" s="30">
        <f>COUNTIFS('AT. MEDICAS 2024'!$A$9:$A$874,"21/07/2025",'AT. MEDICAS 2024'!$I$9:$I$874,B176)</f>
        <v>0</v>
      </c>
      <c r="X176" s="30">
        <f>COUNTIFS('AT. MEDICAS 2024'!$A$9:$A$874,"22/07/2025",'AT. MEDICAS 2024'!$I$9:$I$874,B176)</f>
        <v>0</v>
      </c>
      <c r="Y176" s="30">
        <f>COUNTIFS('AT. MEDICAS 2024'!$A$9:$A$874,"23/07/2025",'AT. MEDICAS 2024'!$I$9:$I$874,B176)</f>
        <v>0</v>
      </c>
      <c r="Z176" s="30">
        <f>COUNTIFS('AT. MEDICAS 2024'!$A$9:$A$874,"24/07/2025",'AT. MEDICAS 2024'!$I$9:$I$874,B176)</f>
        <v>0</v>
      </c>
      <c r="AA176" s="30">
        <f>COUNTIFS('AT. MEDICAS 2024'!$A$9:$A$874,"25/07/2025",'AT. MEDICAS 2024'!$I$9:$I$874,B176)</f>
        <v>0</v>
      </c>
      <c r="AB176" s="30">
        <f>COUNTIFS('AT. MEDICAS 2024'!$A$9:$A$874,"26/07/2025",'AT. MEDICAS 2024'!$I$9:$I$874,B176)</f>
        <v>0</v>
      </c>
      <c r="AC176" s="30">
        <f>COUNTIFS('AT. MEDICAS 2024'!$A$9:$A$874,"27/07/2025",'AT. MEDICAS 2024'!$I$9:$I$874,B176)</f>
        <v>0</v>
      </c>
      <c r="AD176" s="30">
        <f>COUNTIFS('AT. MEDICAS 2024'!$A$9:$A$874,"28/07/2025",'AT. MEDICAS 2024'!$I$9:$I$874,B176)</f>
        <v>0</v>
      </c>
      <c r="AE176" s="30">
        <f>COUNTIFS('AT. MEDICAS 2024'!$A$9:$A$874,"29/07/2025",'AT. MEDICAS 2024'!$I$9:$I$874,B176)</f>
        <v>0</v>
      </c>
      <c r="AF176" s="30">
        <f>COUNTIFS('AT. MEDICAS 2024'!$A$9:$A$874,"30/07/2025",'AT. MEDICAS 2024'!$I$9:$I$874,B176)</f>
        <v>0</v>
      </c>
      <c r="AG176" s="30">
        <f>COUNTIFS('AT. MEDICAS 2024'!$A$9:$A$874,"31/07/2025",'AT. MEDICAS 2024'!$I$9:$I$874,B176)</f>
        <v>0</v>
      </c>
      <c r="AH176" s="55">
        <f t="shared" si="23"/>
        <v>0</v>
      </c>
    </row>
    <row r="177" spans="1:34" ht="13.8" thickBot="1" x14ac:dyDescent="0.3">
      <c r="A177" s="41">
        <v>17</v>
      </c>
      <c r="B177" s="54" t="s">
        <v>72</v>
      </c>
      <c r="C177" s="30">
        <f>COUNTIFS('AT. MEDICAS 2024'!$A$9:$A$874,"01/07/2025",'AT. MEDICAS 2024'!$I$9:$I$874,B177)</f>
        <v>0</v>
      </c>
      <c r="D177" s="30">
        <f>COUNTIFS('AT. MEDICAS 2024'!$A$9:$A$874,"02/07/2025",'AT. MEDICAS 2024'!$I$9:$I$874,B177)</f>
        <v>0</v>
      </c>
      <c r="E177" s="30">
        <f>COUNTIFS('AT. MEDICAS 2024'!$A$9:$A$874,"03/07/2025",'AT. MEDICAS 2024'!$I$9:$I$874,B177)</f>
        <v>0</v>
      </c>
      <c r="F177" s="30">
        <f>COUNTIFS('AT. MEDICAS 2024'!$A$9:$A$874,"04/07/2025",'AT. MEDICAS 2024'!$I$9:$I$874,B177)</f>
        <v>0</v>
      </c>
      <c r="G177" s="30">
        <f>COUNTIFS('AT. MEDICAS 2024'!$A$9:$A$874,"05/07/2025",'AT. MEDICAS 2024'!$I$9:$I$874,B177)</f>
        <v>0</v>
      </c>
      <c r="H177" s="30">
        <f>COUNTIFS('AT. MEDICAS 2024'!$A$9:$A$874,"06/07/2025",'AT. MEDICAS 2024'!$I$9:$I$874,B177)</f>
        <v>0</v>
      </c>
      <c r="I177" s="30">
        <f>COUNTIFS('AT. MEDICAS 2024'!$A$9:$A$874,"07/07/2025",'AT. MEDICAS 2024'!$I$9:$I$874,B177)</f>
        <v>0</v>
      </c>
      <c r="J177" s="30">
        <f>COUNTIFS('AT. MEDICAS 2024'!$A$9:$A$874,"08/07/2025",'AT. MEDICAS 2024'!$I$9:$I$874,B177)</f>
        <v>0</v>
      </c>
      <c r="K177" s="30">
        <f>COUNTIFS('AT. MEDICAS 2024'!$A$9:$A$874,"09/07/2025",'AT. MEDICAS 2024'!$I$9:$I$874,B177)</f>
        <v>0</v>
      </c>
      <c r="L177" s="30">
        <f>COUNTIFS('AT. MEDICAS 2024'!$A$9:$A$874,"10/07/2025",'AT. MEDICAS 2024'!$I$9:$I$874,B177)</f>
        <v>0</v>
      </c>
      <c r="M177" s="30">
        <f>COUNTIFS('AT. MEDICAS 2024'!$A$9:$A$874,"11/07/2025",'AT. MEDICAS 2024'!$I$9:$I$874,B177)</f>
        <v>0</v>
      </c>
      <c r="N177" s="30">
        <f>COUNTIFS('AT. MEDICAS 2024'!$A$9:$A$874,"12/07/2025",'AT. MEDICAS 2024'!$I$9:$I$874,B177)</f>
        <v>0</v>
      </c>
      <c r="O177" s="30">
        <f>COUNTIFS('AT. MEDICAS 2024'!$A$9:$A$874,"13/07/2025",'AT. MEDICAS 2024'!$I$9:$I$874,B177)</f>
        <v>0</v>
      </c>
      <c r="P177" s="30">
        <f>COUNTIFS('AT. MEDICAS 2024'!$A$9:$A$874,"14/07/2025",'AT. MEDICAS 2024'!$I$9:$I$874,B177)</f>
        <v>0</v>
      </c>
      <c r="Q177" s="30">
        <f>COUNTIFS('AT. MEDICAS 2024'!$A$9:$A$874,"15/07/2025",'AT. MEDICAS 2024'!$I$9:$I$874,B177)</f>
        <v>0</v>
      </c>
      <c r="R177" s="30">
        <f>COUNTIFS('AT. MEDICAS 2024'!$A$9:$A$874,"16/07/2025",'AT. MEDICAS 2024'!$I$9:$I$874,B177)</f>
        <v>0</v>
      </c>
      <c r="S177" s="30">
        <f>COUNTIFS('AT. MEDICAS 2024'!$A$9:$A$874,"17/07/2025",'AT. MEDICAS 2024'!$I$9:$I$874,B177)</f>
        <v>0</v>
      </c>
      <c r="T177" s="30">
        <f>COUNTIFS('AT. MEDICAS 2024'!$A$9:$A$874,"18/07/2025",'AT. MEDICAS 2024'!$I$9:$I$874,B177)</f>
        <v>0</v>
      </c>
      <c r="U177" s="30">
        <f>COUNTIFS('AT. MEDICAS 2024'!$A$9:$A$874,"19/07/2025",'AT. MEDICAS 2024'!$I$9:$I$874,B177)</f>
        <v>0</v>
      </c>
      <c r="V177" s="30">
        <f>COUNTIFS('AT. MEDICAS 2024'!$A$9:$A$874,"20/07/2025",'AT. MEDICAS 2024'!$I$9:$I$874,B177)</f>
        <v>0</v>
      </c>
      <c r="W177" s="30">
        <f>COUNTIFS('AT. MEDICAS 2024'!$A$9:$A$874,"21/07/2025",'AT. MEDICAS 2024'!$I$9:$I$874,B177)</f>
        <v>0</v>
      </c>
      <c r="X177" s="30">
        <f>COUNTIFS('AT. MEDICAS 2024'!$A$9:$A$874,"22/07/2025",'AT. MEDICAS 2024'!$I$9:$I$874,B177)</f>
        <v>0</v>
      </c>
      <c r="Y177" s="30">
        <f>COUNTIFS('AT. MEDICAS 2024'!$A$9:$A$874,"23/07/2025",'AT. MEDICAS 2024'!$I$9:$I$874,B177)</f>
        <v>0</v>
      </c>
      <c r="Z177" s="30">
        <f>COUNTIFS('AT. MEDICAS 2024'!$A$9:$A$874,"24/07/2025",'AT. MEDICAS 2024'!$I$9:$I$874,B177)</f>
        <v>0</v>
      </c>
      <c r="AA177" s="30">
        <f>COUNTIFS('AT. MEDICAS 2024'!$A$9:$A$874,"25/07/2025",'AT. MEDICAS 2024'!$I$9:$I$874,B177)</f>
        <v>0</v>
      </c>
      <c r="AB177" s="30">
        <f>COUNTIFS('AT. MEDICAS 2024'!$A$9:$A$874,"26/07/2025",'AT. MEDICAS 2024'!$I$9:$I$874,B177)</f>
        <v>0</v>
      </c>
      <c r="AC177" s="30">
        <f>COUNTIFS('AT. MEDICAS 2024'!$A$9:$A$874,"27/07/2025",'AT. MEDICAS 2024'!$I$9:$I$874,B177)</f>
        <v>0</v>
      </c>
      <c r="AD177" s="30">
        <f>COUNTIFS('AT. MEDICAS 2024'!$A$9:$A$874,"28/07/2025",'AT. MEDICAS 2024'!$I$9:$I$874,B177)</f>
        <v>0</v>
      </c>
      <c r="AE177" s="30">
        <f>COUNTIFS('AT. MEDICAS 2024'!$A$9:$A$874,"29/07/2025",'AT. MEDICAS 2024'!$I$9:$I$874,B177)</f>
        <v>0</v>
      </c>
      <c r="AF177" s="30">
        <f>COUNTIFS('AT. MEDICAS 2024'!$A$9:$A$874,"30/07/2025",'AT. MEDICAS 2024'!$I$9:$I$874,B177)</f>
        <v>0</v>
      </c>
      <c r="AG177" s="30">
        <f>COUNTIFS('AT. MEDICAS 2024'!$A$9:$A$874,"31/07/2025",'AT. MEDICAS 2024'!$I$9:$I$874,B177)</f>
        <v>0</v>
      </c>
      <c r="AH177" s="55">
        <f t="shared" si="23"/>
        <v>0</v>
      </c>
    </row>
    <row r="178" spans="1:34" ht="13.8" thickBot="1" x14ac:dyDescent="0.3">
      <c r="A178" s="41">
        <v>18</v>
      </c>
      <c r="B178" s="54" t="s">
        <v>190</v>
      </c>
      <c r="C178" s="30">
        <f>COUNTIFS('AT. MEDICAS 2024'!$A$9:$A$874,"01/07/2025",'AT. MEDICAS 2024'!$I$9:$I$874,B178)</f>
        <v>0</v>
      </c>
      <c r="D178" s="30">
        <f>COUNTIFS('AT. MEDICAS 2024'!$A$9:$A$874,"02/07/2025",'AT. MEDICAS 2024'!$I$9:$I$874,B178)</f>
        <v>0</v>
      </c>
      <c r="E178" s="30">
        <f>COUNTIFS('AT. MEDICAS 2024'!$A$9:$A$874,"03/07/2025",'AT. MEDICAS 2024'!$I$9:$I$874,B178)</f>
        <v>0</v>
      </c>
      <c r="F178" s="30">
        <f>COUNTIFS('AT. MEDICAS 2024'!$A$9:$A$874,"04/07/2025",'AT. MEDICAS 2024'!$I$9:$I$874,B178)</f>
        <v>0</v>
      </c>
      <c r="G178" s="30">
        <f>COUNTIFS('AT. MEDICAS 2024'!$A$9:$A$874,"05/07/2025",'AT. MEDICAS 2024'!$I$9:$I$874,B178)</f>
        <v>0</v>
      </c>
      <c r="H178" s="30">
        <f>COUNTIFS('AT. MEDICAS 2024'!$A$9:$A$874,"06/07/2025",'AT. MEDICAS 2024'!$I$9:$I$874,B178)</f>
        <v>0</v>
      </c>
      <c r="I178" s="30">
        <f>COUNTIFS('AT. MEDICAS 2024'!$A$9:$A$874,"07/07/2025",'AT. MEDICAS 2024'!$I$9:$I$874,B178)</f>
        <v>0</v>
      </c>
      <c r="J178" s="30">
        <f>COUNTIFS('AT. MEDICAS 2024'!$A$9:$A$874,"08/07/2025",'AT. MEDICAS 2024'!$I$9:$I$874,B178)</f>
        <v>0</v>
      </c>
      <c r="K178" s="30">
        <f>COUNTIFS('AT. MEDICAS 2024'!$A$9:$A$874,"09/07/2025",'AT. MEDICAS 2024'!$I$9:$I$874,B178)</f>
        <v>0</v>
      </c>
      <c r="L178" s="30">
        <f>COUNTIFS('AT. MEDICAS 2024'!$A$9:$A$874,"10/07/2025",'AT. MEDICAS 2024'!$I$9:$I$874,B178)</f>
        <v>0</v>
      </c>
      <c r="M178" s="30">
        <f>COUNTIFS('AT. MEDICAS 2024'!$A$9:$A$874,"11/07/2025",'AT. MEDICAS 2024'!$I$9:$I$874,B178)</f>
        <v>0</v>
      </c>
      <c r="N178" s="30">
        <f>COUNTIFS('AT. MEDICAS 2024'!$A$9:$A$874,"12/07/2025",'AT. MEDICAS 2024'!$I$9:$I$874,B178)</f>
        <v>0</v>
      </c>
      <c r="O178" s="30">
        <f>COUNTIFS('AT. MEDICAS 2024'!$A$9:$A$874,"13/07/2025",'AT. MEDICAS 2024'!$I$9:$I$874,B178)</f>
        <v>0</v>
      </c>
      <c r="P178" s="30">
        <f>COUNTIFS('AT. MEDICAS 2024'!$A$9:$A$874,"14/07/2025",'AT. MEDICAS 2024'!$I$9:$I$874,B178)</f>
        <v>0</v>
      </c>
      <c r="Q178" s="30">
        <f>COUNTIFS('AT. MEDICAS 2024'!$A$9:$A$874,"15/07/2025",'AT. MEDICAS 2024'!$I$9:$I$874,B178)</f>
        <v>0</v>
      </c>
      <c r="R178" s="30">
        <f>COUNTIFS('AT. MEDICAS 2024'!$A$9:$A$874,"16/07/2025",'AT. MEDICAS 2024'!$I$9:$I$874,B178)</f>
        <v>0</v>
      </c>
      <c r="S178" s="30">
        <f>COUNTIFS('AT. MEDICAS 2024'!$A$9:$A$874,"17/07/2025",'AT. MEDICAS 2024'!$I$9:$I$874,B178)</f>
        <v>0</v>
      </c>
      <c r="T178" s="30">
        <f>COUNTIFS('AT. MEDICAS 2024'!$A$9:$A$874,"18/07/2025",'AT. MEDICAS 2024'!$I$9:$I$874,B178)</f>
        <v>0</v>
      </c>
      <c r="U178" s="30">
        <f>COUNTIFS('AT. MEDICAS 2024'!$A$9:$A$874,"19/07/2025",'AT. MEDICAS 2024'!$I$9:$I$874,B178)</f>
        <v>0</v>
      </c>
      <c r="V178" s="30">
        <f>COUNTIFS('AT. MEDICAS 2024'!$A$9:$A$874,"20/07/2025",'AT. MEDICAS 2024'!$I$9:$I$874,B178)</f>
        <v>0</v>
      </c>
      <c r="W178" s="30">
        <f>COUNTIFS('AT. MEDICAS 2024'!$A$9:$A$874,"21/07/2025",'AT. MEDICAS 2024'!$I$9:$I$874,B178)</f>
        <v>0</v>
      </c>
      <c r="X178" s="30">
        <f>COUNTIFS('AT. MEDICAS 2024'!$A$9:$A$874,"22/07/2025",'AT. MEDICAS 2024'!$I$9:$I$874,B178)</f>
        <v>0</v>
      </c>
      <c r="Y178" s="30">
        <f>COUNTIFS('AT. MEDICAS 2024'!$A$9:$A$874,"23/07/2025",'AT. MEDICAS 2024'!$I$9:$I$874,B178)</f>
        <v>0</v>
      </c>
      <c r="Z178" s="30">
        <f>COUNTIFS('AT. MEDICAS 2024'!$A$9:$A$874,"24/07/2025",'AT. MEDICAS 2024'!$I$9:$I$874,B178)</f>
        <v>0</v>
      </c>
      <c r="AA178" s="30">
        <f>COUNTIFS('AT. MEDICAS 2024'!$A$9:$A$874,"25/07/2025",'AT. MEDICAS 2024'!$I$9:$I$874,B178)</f>
        <v>0</v>
      </c>
      <c r="AB178" s="30">
        <f>COUNTIFS('AT. MEDICAS 2024'!$A$9:$A$874,"26/07/2025",'AT. MEDICAS 2024'!$I$9:$I$874,B178)</f>
        <v>0</v>
      </c>
      <c r="AC178" s="30">
        <f>COUNTIFS('AT. MEDICAS 2024'!$A$9:$A$874,"27/07/2025",'AT. MEDICAS 2024'!$I$9:$I$874,B178)</f>
        <v>0</v>
      </c>
      <c r="AD178" s="30">
        <f>COUNTIFS('AT. MEDICAS 2024'!$A$9:$A$874,"28/07/2025",'AT. MEDICAS 2024'!$I$9:$I$874,B178)</f>
        <v>0</v>
      </c>
      <c r="AE178" s="30">
        <f>COUNTIFS('AT. MEDICAS 2024'!$A$9:$A$874,"29/07/2025",'AT. MEDICAS 2024'!$I$9:$I$874,B178)</f>
        <v>0</v>
      </c>
      <c r="AF178" s="30">
        <f>COUNTIFS('AT. MEDICAS 2024'!$A$9:$A$874,"30/07/2025",'AT. MEDICAS 2024'!$I$9:$I$874,B178)</f>
        <v>0</v>
      </c>
      <c r="AG178" s="30">
        <f>COUNTIFS('AT. MEDICAS 2024'!$A$9:$A$874,"31/07/2025",'AT. MEDICAS 2024'!$I$9:$I$874,B178)</f>
        <v>0</v>
      </c>
      <c r="AH178" s="55">
        <f t="shared" si="23"/>
        <v>0</v>
      </c>
    </row>
    <row r="179" spans="1:34" ht="13.8" thickBot="1" x14ac:dyDescent="0.3">
      <c r="A179" s="41">
        <v>19</v>
      </c>
      <c r="B179" s="54" t="s">
        <v>118</v>
      </c>
      <c r="C179" s="30">
        <f>COUNTIFS('AT. MEDICAS 2024'!$A$9:$A$874,"01/07/2025",'AT. MEDICAS 2024'!$I$9:$I$874,B179)</f>
        <v>0</v>
      </c>
      <c r="D179" s="30">
        <f>COUNTIFS('AT. MEDICAS 2024'!$A$9:$A$874,"02/07/2025",'AT. MEDICAS 2024'!$I$9:$I$874,B179)</f>
        <v>0</v>
      </c>
      <c r="E179" s="30">
        <f>COUNTIFS('AT. MEDICAS 2024'!$A$9:$A$874,"03/07/2025",'AT. MEDICAS 2024'!$I$9:$I$874,B179)</f>
        <v>0</v>
      </c>
      <c r="F179" s="30">
        <f>COUNTIFS('AT. MEDICAS 2024'!$A$9:$A$874,"04/07/2025",'AT. MEDICAS 2024'!$I$9:$I$874,B179)</f>
        <v>0</v>
      </c>
      <c r="G179" s="30">
        <f>COUNTIFS('AT. MEDICAS 2024'!$A$9:$A$874,"05/07/2025",'AT. MEDICAS 2024'!$I$9:$I$874,B179)</f>
        <v>0</v>
      </c>
      <c r="H179" s="30">
        <f>COUNTIFS('AT. MEDICAS 2024'!$A$9:$A$874,"06/07/2025",'AT. MEDICAS 2024'!$I$9:$I$874,B179)</f>
        <v>0</v>
      </c>
      <c r="I179" s="30">
        <f>COUNTIFS('AT. MEDICAS 2024'!$A$9:$A$874,"07/07/2025",'AT. MEDICAS 2024'!$I$9:$I$874,B179)</f>
        <v>0</v>
      </c>
      <c r="J179" s="30">
        <f>COUNTIFS('AT. MEDICAS 2024'!$A$9:$A$874,"08/07/2025",'AT. MEDICAS 2024'!$I$9:$I$874,B179)</f>
        <v>0</v>
      </c>
      <c r="K179" s="30">
        <f>COUNTIFS('AT. MEDICAS 2024'!$A$9:$A$874,"09/07/2025",'AT. MEDICAS 2024'!$I$9:$I$874,B179)</f>
        <v>0</v>
      </c>
      <c r="L179" s="30">
        <f>COUNTIFS('AT. MEDICAS 2024'!$A$9:$A$874,"10/07/2025",'AT. MEDICAS 2024'!$I$9:$I$874,B179)</f>
        <v>0</v>
      </c>
      <c r="M179" s="30">
        <f>COUNTIFS('AT. MEDICAS 2024'!$A$9:$A$874,"11/07/2025",'AT. MEDICAS 2024'!$I$9:$I$874,B179)</f>
        <v>0</v>
      </c>
      <c r="N179" s="30">
        <f>COUNTIFS('AT. MEDICAS 2024'!$A$9:$A$874,"12/07/2025",'AT. MEDICAS 2024'!$I$9:$I$874,B179)</f>
        <v>0</v>
      </c>
      <c r="O179" s="30">
        <f>COUNTIFS('AT. MEDICAS 2024'!$A$9:$A$874,"13/07/2025",'AT. MEDICAS 2024'!$I$9:$I$874,B179)</f>
        <v>0</v>
      </c>
      <c r="P179" s="30">
        <f>COUNTIFS('AT. MEDICAS 2024'!$A$9:$A$874,"14/07/2025",'AT. MEDICAS 2024'!$I$9:$I$874,B179)</f>
        <v>0</v>
      </c>
      <c r="Q179" s="30">
        <f>COUNTIFS('AT. MEDICAS 2024'!$A$9:$A$874,"15/07/2025",'AT. MEDICAS 2024'!$I$9:$I$874,B179)</f>
        <v>0</v>
      </c>
      <c r="R179" s="30">
        <f>COUNTIFS('AT. MEDICAS 2024'!$A$9:$A$874,"16/07/2025",'AT. MEDICAS 2024'!$I$9:$I$874,B179)</f>
        <v>0</v>
      </c>
      <c r="S179" s="30">
        <f>COUNTIFS('AT. MEDICAS 2024'!$A$9:$A$874,"17/07/2025",'AT. MEDICAS 2024'!$I$9:$I$874,B179)</f>
        <v>0</v>
      </c>
      <c r="T179" s="30">
        <f>COUNTIFS('AT. MEDICAS 2024'!$A$9:$A$874,"18/07/2025",'AT. MEDICAS 2024'!$I$9:$I$874,B179)</f>
        <v>0</v>
      </c>
      <c r="U179" s="30">
        <f>COUNTIFS('AT. MEDICAS 2024'!$A$9:$A$874,"19/07/2025",'AT. MEDICAS 2024'!$I$9:$I$874,B179)</f>
        <v>0</v>
      </c>
      <c r="V179" s="30">
        <f>COUNTIFS('AT. MEDICAS 2024'!$A$9:$A$874,"20/07/2025",'AT. MEDICAS 2024'!$I$9:$I$874,B179)</f>
        <v>0</v>
      </c>
      <c r="W179" s="30">
        <f>COUNTIFS('AT. MEDICAS 2024'!$A$9:$A$874,"21/07/2025",'AT. MEDICAS 2024'!$I$9:$I$874,B179)</f>
        <v>0</v>
      </c>
      <c r="X179" s="30">
        <f>COUNTIFS('AT. MEDICAS 2024'!$A$9:$A$874,"22/07/2025",'AT. MEDICAS 2024'!$I$9:$I$874,B179)</f>
        <v>0</v>
      </c>
      <c r="Y179" s="30">
        <f>COUNTIFS('AT. MEDICAS 2024'!$A$9:$A$874,"23/07/2025",'AT. MEDICAS 2024'!$I$9:$I$874,B179)</f>
        <v>0</v>
      </c>
      <c r="Z179" s="30">
        <f>COUNTIFS('AT. MEDICAS 2024'!$A$9:$A$874,"24/07/2025",'AT. MEDICAS 2024'!$I$9:$I$874,B179)</f>
        <v>0</v>
      </c>
      <c r="AA179" s="30">
        <f>COUNTIFS('AT. MEDICAS 2024'!$A$9:$A$874,"25/07/2025",'AT. MEDICAS 2024'!$I$9:$I$874,B179)</f>
        <v>0</v>
      </c>
      <c r="AB179" s="30">
        <f>COUNTIFS('AT. MEDICAS 2024'!$A$9:$A$874,"26/07/2025",'AT. MEDICAS 2024'!$I$9:$I$874,B179)</f>
        <v>0</v>
      </c>
      <c r="AC179" s="30">
        <f>COUNTIFS('AT. MEDICAS 2024'!$A$9:$A$874,"27/07/2025",'AT. MEDICAS 2024'!$I$9:$I$874,B179)</f>
        <v>0</v>
      </c>
      <c r="AD179" s="30">
        <f>COUNTIFS('AT. MEDICAS 2024'!$A$9:$A$874,"28/07/2025",'AT. MEDICAS 2024'!$I$9:$I$874,B179)</f>
        <v>0</v>
      </c>
      <c r="AE179" s="30">
        <f>COUNTIFS('AT. MEDICAS 2024'!$A$9:$A$874,"29/07/2025",'AT. MEDICAS 2024'!$I$9:$I$874,B179)</f>
        <v>0</v>
      </c>
      <c r="AF179" s="30">
        <f>COUNTIFS('AT. MEDICAS 2024'!$A$9:$A$874,"30/07/2025",'AT. MEDICAS 2024'!$I$9:$I$874,B179)</f>
        <v>0</v>
      </c>
      <c r="AG179" s="30">
        <f>COUNTIFS('AT. MEDICAS 2024'!$A$9:$A$874,"31/07/2025",'AT. MEDICAS 2024'!$I$9:$I$874,B179)</f>
        <v>0</v>
      </c>
      <c r="AH179" s="55">
        <f t="shared" si="23"/>
        <v>0</v>
      </c>
    </row>
    <row r="180" spans="1:34" ht="13.8" thickBot="1" x14ac:dyDescent="0.3">
      <c r="A180" s="41">
        <v>20</v>
      </c>
      <c r="B180" s="54" t="s">
        <v>31</v>
      </c>
      <c r="C180" s="30">
        <f>COUNTIFS('AT. MEDICAS 2024'!$A$9:$A$874,"01/07/2025",'AT. MEDICAS 2024'!$I$9:$I$874,B180)</f>
        <v>0</v>
      </c>
      <c r="D180" s="30">
        <f>COUNTIFS('AT. MEDICAS 2024'!$A$9:$A$874,"02/07/2025",'AT. MEDICAS 2024'!$I$9:$I$874,B180)</f>
        <v>0</v>
      </c>
      <c r="E180" s="30">
        <f>COUNTIFS('AT. MEDICAS 2024'!$A$9:$A$874,"03/07/2025",'AT. MEDICAS 2024'!$I$9:$I$874,B180)</f>
        <v>0</v>
      </c>
      <c r="F180" s="30">
        <f>COUNTIFS('AT. MEDICAS 2024'!$A$9:$A$874,"04/07/2025",'AT. MEDICAS 2024'!$I$9:$I$874,B180)</f>
        <v>0</v>
      </c>
      <c r="G180" s="30">
        <f>COUNTIFS('AT. MEDICAS 2024'!$A$9:$A$874,"05/07/2025",'AT. MEDICAS 2024'!$I$9:$I$874,B180)</f>
        <v>0</v>
      </c>
      <c r="H180" s="30">
        <f>COUNTIFS('AT. MEDICAS 2024'!$A$9:$A$874,"06/07/2025",'AT. MEDICAS 2024'!$I$9:$I$874,B180)</f>
        <v>0</v>
      </c>
      <c r="I180" s="30">
        <f>COUNTIFS('AT. MEDICAS 2024'!$A$9:$A$874,"07/07/2025",'AT. MEDICAS 2024'!$I$9:$I$874,B180)</f>
        <v>0</v>
      </c>
      <c r="J180" s="30">
        <f>COUNTIFS('AT. MEDICAS 2024'!$A$9:$A$874,"08/07/2025",'AT. MEDICAS 2024'!$I$9:$I$874,B180)</f>
        <v>0</v>
      </c>
      <c r="K180" s="30">
        <f>COUNTIFS('AT. MEDICAS 2024'!$A$9:$A$874,"09/07/2025",'AT. MEDICAS 2024'!$I$9:$I$874,B180)</f>
        <v>0</v>
      </c>
      <c r="L180" s="30">
        <f>COUNTIFS('AT. MEDICAS 2024'!$A$9:$A$874,"10/07/2025",'AT. MEDICAS 2024'!$I$9:$I$874,B180)</f>
        <v>0</v>
      </c>
      <c r="M180" s="30">
        <f>COUNTIFS('AT. MEDICAS 2024'!$A$9:$A$874,"11/07/2025",'AT. MEDICAS 2024'!$I$9:$I$874,B180)</f>
        <v>0</v>
      </c>
      <c r="N180" s="30">
        <f>COUNTIFS('AT. MEDICAS 2024'!$A$9:$A$874,"12/07/2025",'AT. MEDICAS 2024'!$I$9:$I$874,B180)</f>
        <v>0</v>
      </c>
      <c r="O180" s="30">
        <f>COUNTIFS('AT. MEDICAS 2024'!$A$9:$A$874,"13/07/2025",'AT. MEDICAS 2024'!$I$9:$I$874,B180)</f>
        <v>0</v>
      </c>
      <c r="P180" s="30">
        <f>COUNTIFS('AT. MEDICAS 2024'!$A$9:$A$874,"14/07/2025",'AT. MEDICAS 2024'!$I$9:$I$874,B180)</f>
        <v>0</v>
      </c>
      <c r="Q180" s="30">
        <f>COUNTIFS('AT. MEDICAS 2024'!$A$9:$A$874,"15/07/2025",'AT. MEDICAS 2024'!$I$9:$I$874,B180)</f>
        <v>0</v>
      </c>
      <c r="R180" s="30">
        <f>COUNTIFS('AT. MEDICAS 2024'!$A$9:$A$874,"16/07/2025",'AT. MEDICAS 2024'!$I$9:$I$874,B180)</f>
        <v>0</v>
      </c>
      <c r="S180" s="30">
        <f>COUNTIFS('AT. MEDICAS 2024'!$A$9:$A$874,"17/07/2025",'AT. MEDICAS 2024'!$I$9:$I$874,B180)</f>
        <v>0</v>
      </c>
      <c r="T180" s="30">
        <f>COUNTIFS('AT. MEDICAS 2024'!$A$9:$A$874,"18/07/2025",'AT. MEDICAS 2024'!$I$9:$I$874,B180)</f>
        <v>0</v>
      </c>
      <c r="U180" s="30">
        <f>COUNTIFS('AT. MEDICAS 2024'!$A$9:$A$874,"19/07/2025",'AT. MEDICAS 2024'!$I$9:$I$874,B180)</f>
        <v>0</v>
      </c>
      <c r="V180" s="30">
        <f>COUNTIFS('AT. MEDICAS 2024'!$A$9:$A$874,"20/07/2025",'AT. MEDICAS 2024'!$I$9:$I$874,B180)</f>
        <v>0</v>
      </c>
      <c r="W180" s="30">
        <f>COUNTIFS('AT. MEDICAS 2024'!$A$9:$A$874,"21/07/2025",'AT. MEDICAS 2024'!$I$9:$I$874,B180)</f>
        <v>0</v>
      </c>
      <c r="X180" s="30">
        <f>COUNTIFS('AT. MEDICAS 2024'!$A$9:$A$874,"22/07/2025",'AT. MEDICAS 2024'!$I$9:$I$874,B180)</f>
        <v>0</v>
      </c>
      <c r="Y180" s="30">
        <f>COUNTIFS('AT. MEDICAS 2024'!$A$9:$A$874,"23/07/2025",'AT. MEDICAS 2024'!$I$9:$I$874,B180)</f>
        <v>0</v>
      </c>
      <c r="Z180" s="30">
        <f>COUNTIFS('AT. MEDICAS 2024'!$A$9:$A$874,"24/07/2025",'AT. MEDICAS 2024'!$I$9:$I$874,B180)</f>
        <v>0</v>
      </c>
      <c r="AA180" s="30">
        <f>COUNTIFS('AT. MEDICAS 2024'!$A$9:$A$874,"25/07/2025",'AT. MEDICAS 2024'!$I$9:$I$874,B180)</f>
        <v>0</v>
      </c>
      <c r="AB180" s="30">
        <f>COUNTIFS('AT. MEDICAS 2024'!$A$9:$A$874,"26/07/2025",'AT. MEDICAS 2024'!$I$9:$I$874,B180)</f>
        <v>0</v>
      </c>
      <c r="AC180" s="30">
        <f>COUNTIFS('AT. MEDICAS 2024'!$A$9:$A$874,"27/07/2025",'AT. MEDICAS 2024'!$I$9:$I$874,B180)</f>
        <v>0</v>
      </c>
      <c r="AD180" s="30">
        <f>COUNTIFS('AT. MEDICAS 2024'!$A$9:$A$874,"28/07/2025",'AT. MEDICAS 2024'!$I$9:$I$874,B180)</f>
        <v>0</v>
      </c>
      <c r="AE180" s="30">
        <f>COUNTIFS('AT. MEDICAS 2024'!$A$9:$A$874,"29/07/2025",'AT. MEDICAS 2024'!$I$9:$I$874,B180)</f>
        <v>0</v>
      </c>
      <c r="AF180" s="30">
        <f>COUNTIFS('AT. MEDICAS 2024'!$A$9:$A$874,"30/07/2025",'AT. MEDICAS 2024'!$I$9:$I$874,B180)</f>
        <v>0</v>
      </c>
      <c r="AG180" s="30">
        <f>COUNTIFS('AT. MEDICAS 2024'!$A$9:$A$874,"31/07/2025",'AT. MEDICAS 2024'!$I$9:$I$874,B180)</f>
        <v>0</v>
      </c>
      <c r="AH180" s="55">
        <f t="shared" si="23"/>
        <v>0</v>
      </c>
    </row>
    <row r="181" spans="1:34" ht="18.600000000000001" customHeight="1" thickBot="1" x14ac:dyDescent="0.3">
      <c r="A181" s="92"/>
      <c r="B181" s="93"/>
      <c r="C181" s="55">
        <f>SUM(C161:C180)</f>
        <v>0</v>
      </c>
      <c r="D181" s="55">
        <f t="shared" ref="D181:AE181" si="24">SUM(D161:D180)</f>
        <v>0</v>
      </c>
      <c r="E181" s="55">
        <f t="shared" si="24"/>
        <v>0</v>
      </c>
      <c r="F181" s="55">
        <f t="shared" si="24"/>
        <v>0</v>
      </c>
      <c r="G181" s="55">
        <f t="shared" si="24"/>
        <v>0</v>
      </c>
      <c r="H181" s="55">
        <f t="shared" si="24"/>
        <v>0</v>
      </c>
      <c r="I181" s="55">
        <f t="shared" si="24"/>
        <v>0</v>
      </c>
      <c r="J181" s="55">
        <f t="shared" si="24"/>
        <v>0</v>
      </c>
      <c r="K181" s="55">
        <f t="shared" si="24"/>
        <v>0</v>
      </c>
      <c r="L181" s="55">
        <f t="shared" si="24"/>
        <v>0</v>
      </c>
      <c r="M181" s="55">
        <f t="shared" si="24"/>
        <v>0</v>
      </c>
      <c r="N181" s="55">
        <f t="shared" si="24"/>
        <v>0</v>
      </c>
      <c r="O181" s="55">
        <f t="shared" si="24"/>
        <v>0</v>
      </c>
      <c r="P181" s="55">
        <f t="shared" si="24"/>
        <v>0</v>
      </c>
      <c r="Q181" s="55">
        <f t="shared" si="24"/>
        <v>0</v>
      </c>
      <c r="R181" s="55">
        <f t="shared" si="24"/>
        <v>0</v>
      </c>
      <c r="S181" s="55">
        <f t="shared" si="24"/>
        <v>0</v>
      </c>
      <c r="T181" s="55">
        <f t="shared" si="24"/>
        <v>0</v>
      </c>
      <c r="U181" s="55">
        <f t="shared" si="24"/>
        <v>0</v>
      </c>
      <c r="V181" s="55">
        <f t="shared" si="24"/>
        <v>0</v>
      </c>
      <c r="W181" s="55">
        <f t="shared" si="24"/>
        <v>0</v>
      </c>
      <c r="X181" s="55">
        <f t="shared" si="24"/>
        <v>0</v>
      </c>
      <c r="Y181" s="55">
        <f t="shared" si="24"/>
        <v>0</v>
      </c>
      <c r="Z181" s="55">
        <f t="shared" si="24"/>
        <v>0</v>
      </c>
      <c r="AA181" s="55">
        <f t="shared" si="24"/>
        <v>0</v>
      </c>
      <c r="AB181" s="55">
        <f t="shared" si="24"/>
        <v>0</v>
      </c>
      <c r="AC181" s="55">
        <f t="shared" si="24"/>
        <v>0</v>
      </c>
      <c r="AD181" s="55">
        <f t="shared" si="24"/>
        <v>0</v>
      </c>
      <c r="AE181" s="55">
        <f t="shared" si="24"/>
        <v>0</v>
      </c>
      <c r="AF181" s="55">
        <f>SUM(AF161:AF180)</f>
        <v>0</v>
      </c>
      <c r="AG181" s="55">
        <f>SUM(AG161:AG180)</f>
        <v>0</v>
      </c>
      <c r="AH181" s="30">
        <f>SUM(AH161:AH180)</f>
        <v>0</v>
      </c>
    </row>
    <row r="183" spans="1:34" ht="27.6" customHeight="1" x14ac:dyDescent="0.25">
      <c r="A183" s="92" t="s">
        <v>174</v>
      </c>
      <c r="B183" s="93"/>
      <c r="C183" s="111">
        <v>45870</v>
      </c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3" t="s">
        <v>178</v>
      </c>
    </row>
    <row r="184" spans="1:34" ht="13.8" thickBot="1" x14ac:dyDescent="0.3">
      <c r="A184" s="115" t="s">
        <v>175</v>
      </c>
      <c r="B184" s="115" t="s">
        <v>176</v>
      </c>
      <c r="C184" s="45">
        <v>1</v>
      </c>
      <c r="D184" s="45">
        <v>2</v>
      </c>
      <c r="E184" s="45">
        <v>3</v>
      </c>
      <c r="F184" s="45">
        <v>4</v>
      </c>
      <c r="G184" s="45">
        <v>5</v>
      </c>
      <c r="H184" s="45">
        <v>6</v>
      </c>
      <c r="I184" s="45">
        <v>7</v>
      </c>
      <c r="J184" s="45">
        <v>8</v>
      </c>
      <c r="K184" s="45">
        <v>9</v>
      </c>
      <c r="L184" s="45">
        <v>10</v>
      </c>
      <c r="M184" s="45">
        <v>11</v>
      </c>
      <c r="N184" s="45">
        <v>12</v>
      </c>
      <c r="O184" s="45">
        <v>13</v>
      </c>
      <c r="P184" s="45">
        <v>14</v>
      </c>
      <c r="Q184" s="45">
        <v>15</v>
      </c>
      <c r="R184" s="45">
        <v>16</v>
      </c>
      <c r="S184" s="45">
        <v>17</v>
      </c>
      <c r="T184" s="45">
        <v>18</v>
      </c>
      <c r="U184" s="45">
        <v>19</v>
      </c>
      <c r="V184" s="45">
        <v>20</v>
      </c>
      <c r="W184" s="45">
        <v>21</v>
      </c>
      <c r="X184" s="45">
        <v>22</v>
      </c>
      <c r="Y184" s="45">
        <v>23</v>
      </c>
      <c r="Z184" s="45">
        <v>24</v>
      </c>
      <c r="AA184" s="45">
        <v>25</v>
      </c>
      <c r="AB184" s="45">
        <v>26</v>
      </c>
      <c r="AC184" s="45">
        <v>27</v>
      </c>
      <c r="AD184" s="45">
        <v>28</v>
      </c>
      <c r="AE184" s="45">
        <v>29</v>
      </c>
      <c r="AF184" s="45">
        <v>30</v>
      </c>
      <c r="AG184" s="45" t="s">
        <v>177</v>
      </c>
      <c r="AH184" s="114"/>
    </row>
    <row r="185" spans="1:34" ht="13.8" thickBot="1" x14ac:dyDescent="0.3">
      <c r="A185" s="116"/>
      <c r="B185" s="116"/>
      <c r="C185" s="28" t="s">
        <v>181</v>
      </c>
      <c r="D185" s="28" t="s">
        <v>182</v>
      </c>
      <c r="E185" s="28" t="s">
        <v>183</v>
      </c>
      <c r="F185" s="28" t="s">
        <v>179</v>
      </c>
      <c r="G185" s="28" t="s">
        <v>24</v>
      </c>
      <c r="H185" s="28" t="s">
        <v>24</v>
      </c>
      <c r="I185" s="28" t="s">
        <v>180</v>
      </c>
      <c r="J185" s="28" t="s">
        <v>181</v>
      </c>
      <c r="K185" s="28" t="s">
        <v>182</v>
      </c>
      <c r="L185" s="28" t="s">
        <v>183</v>
      </c>
      <c r="M185" s="28" t="s">
        <v>179</v>
      </c>
      <c r="N185" s="28" t="s">
        <v>24</v>
      </c>
      <c r="O185" s="28" t="s">
        <v>24</v>
      </c>
      <c r="P185" s="28" t="s">
        <v>180</v>
      </c>
      <c r="Q185" s="28" t="s">
        <v>181</v>
      </c>
      <c r="R185" s="28" t="s">
        <v>182</v>
      </c>
      <c r="S185" s="28" t="s">
        <v>183</v>
      </c>
      <c r="T185" s="28" t="s">
        <v>179</v>
      </c>
      <c r="U185" s="28" t="s">
        <v>24</v>
      </c>
      <c r="V185" s="28" t="s">
        <v>24</v>
      </c>
      <c r="W185" s="28" t="s">
        <v>180</v>
      </c>
      <c r="X185" s="28" t="s">
        <v>181</v>
      </c>
      <c r="Y185" s="28" t="s">
        <v>182</v>
      </c>
      <c r="Z185" s="28" t="s">
        <v>183</v>
      </c>
      <c r="AA185" s="28" t="s">
        <v>179</v>
      </c>
      <c r="AB185" s="28" t="s">
        <v>24</v>
      </c>
      <c r="AC185" s="28" t="s">
        <v>24</v>
      </c>
      <c r="AD185" s="28" t="s">
        <v>180</v>
      </c>
      <c r="AE185" s="28" t="s">
        <v>181</v>
      </c>
      <c r="AF185" s="28" t="s">
        <v>182</v>
      </c>
      <c r="AG185" s="28" t="s">
        <v>183</v>
      </c>
      <c r="AH185" s="17" t="s">
        <v>184</v>
      </c>
    </row>
    <row r="186" spans="1:34" ht="13.8" thickBot="1" x14ac:dyDescent="0.3">
      <c r="A186" s="41">
        <v>1</v>
      </c>
      <c r="B186" s="54" t="s">
        <v>185</v>
      </c>
      <c r="C186" s="30">
        <f>COUNTIFS('AT. MEDICAS 2024'!$A$9:$A$874,"01/08/2025",'AT. MEDICAS 2024'!$I$9:$I$874,B186)</f>
        <v>0</v>
      </c>
      <c r="D186" s="30">
        <f>COUNTIFS('AT. MEDICAS 2024'!$A$9:$A$874,"02/08/2025",'AT. MEDICAS 2024'!$I$9:$I$874,B186)</f>
        <v>0</v>
      </c>
      <c r="E186" s="30">
        <f>COUNTIFS('AT. MEDICAS 2024'!$A$9:$A$874,"03/08/2025",'AT. MEDICAS 2024'!$I$9:$I$874,B186)</f>
        <v>0</v>
      </c>
      <c r="F186" s="30">
        <f>COUNTIFS('AT. MEDICAS 2024'!$A$9:$A$874,"04/08/2025",'AT. MEDICAS 2024'!$I$9:$I$874,B186)</f>
        <v>0</v>
      </c>
      <c r="G186" s="30">
        <f>COUNTIFS('AT. MEDICAS 2024'!$A$9:$A$874,"05/08/2025",'AT. MEDICAS 2024'!$I$9:$I$874,B186)</f>
        <v>0</v>
      </c>
      <c r="H186" s="30">
        <f>COUNTIFS('AT. MEDICAS 2024'!$A$9:$A$874,"06/08/2025",'AT. MEDICAS 2024'!$I$9:$I$874,B186)</f>
        <v>0</v>
      </c>
      <c r="I186" s="30">
        <f>COUNTIFS('AT. MEDICAS 2024'!$A$9:$A$874,"07/08/2025",'AT. MEDICAS 2024'!$I$9:$I$874,B186)</f>
        <v>0</v>
      </c>
      <c r="J186" s="30">
        <f>COUNTIFS('AT. MEDICAS 2024'!$A$9:$A$874,"08/08/2025",'AT. MEDICAS 2024'!$I$9:$I$874,B186)</f>
        <v>0</v>
      </c>
      <c r="K186" s="30">
        <f>COUNTIFS('AT. MEDICAS 2024'!$A$9:$A$874,"09/08/2025",'AT. MEDICAS 2024'!$I$9:$I$874,B186)</f>
        <v>0</v>
      </c>
      <c r="L186" s="30">
        <f>COUNTIFS('AT. MEDICAS 2024'!$A$9:$A$874,"10/08/2025",'AT. MEDICAS 2024'!$I$9:$I$874,B186)</f>
        <v>0</v>
      </c>
      <c r="M186" s="30">
        <f>COUNTIFS('AT. MEDICAS 2024'!$A$9:$A$874,"11/08/2025",'AT. MEDICAS 2024'!$I$9:$I$874,B186)</f>
        <v>0</v>
      </c>
      <c r="N186" s="30">
        <f>COUNTIFS('AT. MEDICAS 2024'!$A$9:$A$874,"12/08/2025",'AT. MEDICAS 2024'!$I$9:$I$874,B186)</f>
        <v>0</v>
      </c>
      <c r="O186" s="30">
        <f>COUNTIFS('AT. MEDICAS 2024'!$A$9:$A$874,"13/08/2025",'AT. MEDICAS 2024'!$I$9:$I$874,B186)</f>
        <v>0</v>
      </c>
      <c r="P186" s="30">
        <f>COUNTIFS('AT. MEDICAS 2024'!$A$9:$A$874,"14/08/2025",'AT. MEDICAS 2024'!$I$9:$I$874,B186)</f>
        <v>0</v>
      </c>
      <c r="Q186" s="30">
        <f>COUNTIFS('AT. MEDICAS 2024'!$A$9:$A$874,"15/08/2025",'AT. MEDICAS 2024'!$I$9:$I$874,B186)</f>
        <v>0</v>
      </c>
      <c r="R186" s="30">
        <f>COUNTIFS('AT. MEDICAS 2024'!$A$9:$A$874,"16/08/2025",'AT. MEDICAS 2024'!$I$9:$I$874,B186)</f>
        <v>0</v>
      </c>
      <c r="S186" s="30">
        <f>COUNTIFS('AT. MEDICAS 2024'!$A$9:$A$874,"17/08/2025",'AT. MEDICAS 2024'!$I$9:$I$874,B186)</f>
        <v>0</v>
      </c>
      <c r="T186" s="30">
        <f>COUNTIFS('AT. MEDICAS 2024'!$A$9:$A$874,"18/08/2025",'AT. MEDICAS 2024'!$I$9:$I$874,B186)</f>
        <v>0</v>
      </c>
      <c r="U186" s="30">
        <f>COUNTIFS('AT. MEDICAS 2024'!$A$9:$A$874,"19/08/2025",'AT. MEDICAS 2024'!$I$9:$I$874,B186)</f>
        <v>0</v>
      </c>
      <c r="V186" s="30">
        <f>COUNTIFS('AT. MEDICAS 2024'!$A$9:$A$874,"20/08/2025",'AT. MEDICAS 2024'!$I$9:$I$874,B186)</f>
        <v>0</v>
      </c>
      <c r="W186" s="30">
        <f>COUNTIFS('AT. MEDICAS 2024'!$A$9:$A$874,"21/08/2025",'AT. MEDICAS 2024'!$I$9:$I$874,B186)</f>
        <v>0</v>
      </c>
      <c r="X186" s="30">
        <f>COUNTIFS('AT. MEDICAS 2024'!$A$9:$A$874,"22/08/2025",'AT. MEDICAS 2024'!$I$9:$I$874,B186)</f>
        <v>0</v>
      </c>
      <c r="Y186" s="30">
        <f>COUNTIFS('AT. MEDICAS 2024'!$A$9:$A$874,"23/08/2025",'AT. MEDICAS 2024'!$I$9:$I$874,B186)</f>
        <v>0</v>
      </c>
      <c r="Z186" s="30">
        <f>COUNTIFS('AT. MEDICAS 2024'!$A$9:$A$874,"24/08/2025",'AT. MEDICAS 2024'!$I$9:$I$874,B186)</f>
        <v>0</v>
      </c>
      <c r="AA186" s="30">
        <f>COUNTIFS('AT. MEDICAS 2024'!$A$9:$A$874,"25/08/2025",'AT. MEDICAS 2024'!$I$9:$I$874,B186)</f>
        <v>0</v>
      </c>
      <c r="AB186" s="30">
        <f>COUNTIFS('AT. MEDICAS 2024'!$A$9:$A$874,"26/08/2025",'AT. MEDICAS 2024'!$I$9:$I$874,B186)</f>
        <v>0</v>
      </c>
      <c r="AC186" s="30">
        <f>COUNTIFS('AT. MEDICAS 2024'!$A$9:$A$874,"27/08/2025",'AT. MEDICAS 2024'!$I$9:$I$874,B186)</f>
        <v>0</v>
      </c>
      <c r="AD186" s="30">
        <f>COUNTIFS('AT. MEDICAS 2024'!$A$9:$A$874,"28/08/2025",'AT. MEDICAS 2024'!$I$9:$I$874,B186)</f>
        <v>0</v>
      </c>
      <c r="AE186" s="30">
        <f>COUNTIFS('AT. MEDICAS 2024'!$A$9:$A$874,"29/08/2025",'AT. MEDICAS 2024'!$I$9:$I$874,B186)</f>
        <v>0</v>
      </c>
      <c r="AF186" s="30">
        <f>COUNTIFS('AT. MEDICAS 2024'!$A$9:$A$874,"30/08/2025",'AT. MEDICAS 2024'!$I$9:$I$874,B186)</f>
        <v>0</v>
      </c>
      <c r="AG186" s="30">
        <f>COUNTIFS('AT. MEDICAS 2024'!$A$9:$A$874,"31/08/2025",'AT. MEDICAS 2024'!$I$9:$I$874,B186)</f>
        <v>0</v>
      </c>
      <c r="AH186" s="55">
        <f t="shared" ref="AH186:AH205" si="25">SUM(C186:AG186)</f>
        <v>0</v>
      </c>
    </row>
    <row r="187" spans="1:34" ht="13.8" thickBot="1" x14ac:dyDescent="0.3">
      <c r="A187" s="41">
        <v>2</v>
      </c>
      <c r="B187" s="54" t="s">
        <v>186</v>
      </c>
      <c r="C187" s="30">
        <f>COUNTIFS('AT. MEDICAS 2024'!$A$9:$A$874,"01/08/2025",'AT. MEDICAS 2024'!$I$9:$I$874,B187)</f>
        <v>0</v>
      </c>
      <c r="D187" s="30">
        <f>COUNTIFS('AT. MEDICAS 2024'!$A$9:$A$874,"02/08/2025",'AT. MEDICAS 2024'!$I$9:$I$874,B187)</f>
        <v>0</v>
      </c>
      <c r="E187" s="30">
        <f>COUNTIFS('AT. MEDICAS 2024'!$A$9:$A$874,"03/08/2025",'AT. MEDICAS 2024'!$I$9:$I$874,B187)</f>
        <v>0</v>
      </c>
      <c r="F187" s="30">
        <f>COUNTIFS('AT. MEDICAS 2024'!$A$9:$A$874,"04/08/2025",'AT. MEDICAS 2024'!$I$9:$I$874,B187)</f>
        <v>0</v>
      </c>
      <c r="G187" s="30">
        <f>COUNTIFS('AT. MEDICAS 2024'!$A$9:$A$874,"05/08/2025",'AT. MEDICAS 2024'!$I$9:$I$874,B187)</f>
        <v>0</v>
      </c>
      <c r="H187" s="30">
        <f>COUNTIFS('AT. MEDICAS 2024'!$A$9:$A$874,"06/08/2025",'AT. MEDICAS 2024'!$I$9:$I$874,B187)</f>
        <v>0</v>
      </c>
      <c r="I187" s="30">
        <f>COUNTIFS('AT. MEDICAS 2024'!$A$9:$A$874,"07/08/2025",'AT. MEDICAS 2024'!$I$9:$I$874,B187)</f>
        <v>0</v>
      </c>
      <c r="J187" s="30">
        <f>COUNTIFS('AT. MEDICAS 2024'!$A$9:$A$874,"08/08/2025",'AT. MEDICAS 2024'!$I$9:$I$874,B187)</f>
        <v>0</v>
      </c>
      <c r="K187" s="30">
        <f>COUNTIFS('AT. MEDICAS 2024'!$A$9:$A$874,"09/08/2025",'AT. MEDICAS 2024'!$I$9:$I$874,B187)</f>
        <v>0</v>
      </c>
      <c r="L187" s="30">
        <f>COUNTIFS('AT. MEDICAS 2024'!$A$9:$A$874,"10/08/2025",'AT. MEDICAS 2024'!$I$9:$I$874,B187)</f>
        <v>0</v>
      </c>
      <c r="M187" s="30">
        <f>COUNTIFS('AT. MEDICAS 2024'!$A$9:$A$874,"11/08/2025",'AT. MEDICAS 2024'!$I$9:$I$874,B187)</f>
        <v>0</v>
      </c>
      <c r="N187" s="30">
        <f>COUNTIFS('AT. MEDICAS 2024'!$A$9:$A$874,"12/08/2025",'AT. MEDICAS 2024'!$I$9:$I$874,B187)</f>
        <v>0</v>
      </c>
      <c r="O187" s="30">
        <f>COUNTIFS('AT. MEDICAS 2024'!$A$9:$A$874,"13/08/2025",'AT. MEDICAS 2024'!$I$9:$I$874,B187)</f>
        <v>0</v>
      </c>
      <c r="P187" s="30">
        <f>COUNTIFS('AT. MEDICAS 2024'!$A$9:$A$874,"14/08/2025",'AT. MEDICAS 2024'!$I$9:$I$874,B187)</f>
        <v>0</v>
      </c>
      <c r="Q187" s="30">
        <f>COUNTIFS('AT. MEDICAS 2024'!$A$9:$A$874,"15/08/2025",'AT. MEDICAS 2024'!$I$9:$I$874,B187)</f>
        <v>0</v>
      </c>
      <c r="R187" s="30">
        <f>COUNTIFS('AT. MEDICAS 2024'!$A$9:$A$874,"16/08/2025",'AT. MEDICAS 2024'!$I$9:$I$874,B187)</f>
        <v>0</v>
      </c>
      <c r="S187" s="30">
        <f>COUNTIFS('AT. MEDICAS 2024'!$A$9:$A$874,"17/08/2025",'AT. MEDICAS 2024'!$I$9:$I$874,B187)</f>
        <v>0</v>
      </c>
      <c r="T187" s="30">
        <f>COUNTIFS('AT. MEDICAS 2024'!$A$9:$A$874,"18/08/2025",'AT. MEDICAS 2024'!$I$9:$I$874,B187)</f>
        <v>0</v>
      </c>
      <c r="U187" s="30">
        <f>COUNTIFS('AT. MEDICAS 2024'!$A$9:$A$874,"19/08/2025",'AT. MEDICAS 2024'!$I$9:$I$874,B187)</f>
        <v>0</v>
      </c>
      <c r="V187" s="30">
        <f>COUNTIFS('AT. MEDICAS 2024'!$A$9:$A$874,"20/08/2025",'AT. MEDICAS 2024'!$I$9:$I$874,B187)</f>
        <v>0</v>
      </c>
      <c r="W187" s="30">
        <f>COUNTIFS('AT. MEDICAS 2024'!$A$9:$A$874,"21/08/2025",'AT. MEDICAS 2024'!$I$9:$I$874,B187)</f>
        <v>0</v>
      </c>
      <c r="X187" s="30">
        <f>COUNTIFS('AT. MEDICAS 2024'!$A$9:$A$874,"22/08/2025",'AT. MEDICAS 2024'!$I$9:$I$874,B187)</f>
        <v>0</v>
      </c>
      <c r="Y187" s="30">
        <f>COUNTIFS('AT. MEDICAS 2024'!$A$9:$A$874,"23/08/2025",'AT. MEDICAS 2024'!$I$9:$I$874,B187)</f>
        <v>0</v>
      </c>
      <c r="Z187" s="30">
        <f>COUNTIFS('AT. MEDICAS 2024'!$A$9:$A$874,"24/08/2025",'AT. MEDICAS 2024'!$I$9:$I$874,B187)</f>
        <v>0</v>
      </c>
      <c r="AA187" s="30">
        <f>COUNTIFS('AT. MEDICAS 2024'!$A$9:$A$874,"25/08/2025",'AT. MEDICAS 2024'!$I$9:$I$874,B187)</f>
        <v>0</v>
      </c>
      <c r="AB187" s="30">
        <f>COUNTIFS('AT. MEDICAS 2024'!$A$9:$A$874,"26/08/2025",'AT. MEDICAS 2024'!$I$9:$I$874,B187)</f>
        <v>0</v>
      </c>
      <c r="AC187" s="30">
        <f>COUNTIFS('AT. MEDICAS 2024'!$A$9:$A$874,"27/08/2025",'AT. MEDICAS 2024'!$I$9:$I$874,B187)</f>
        <v>0</v>
      </c>
      <c r="AD187" s="30">
        <f>COUNTIFS('AT. MEDICAS 2024'!$A$9:$A$874,"28/08/2025",'AT. MEDICAS 2024'!$I$9:$I$874,B187)</f>
        <v>0</v>
      </c>
      <c r="AE187" s="30">
        <f>COUNTIFS('AT. MEDICAS 2024'!$A$9:$A$874,"29/08/2025",'AT. MEDICAS 2024'!$I$9:$I$874,B187)</f>
        <v>0</v>
      </c>
      <c r="AF187" s="30">
        <f>COUNTIFS('AT. MEDICAS 2024'!$A$9:$A$874,"30/08/2025",'AT. MEDICAS 2024'!$I$9:$I$874,B187)</f>
        <v>0</v>
      </c>
      <c r="AG187" s="30">
        <f>COUNTIFS('AT. MEDICAS 2024'!$A$9:$A$874,"31/08/2025",'AT. MEDICAS 2024'!$I$9:$I$874,B187)</f>
        <v>0</v>
      </c>
      <c r="AH187" s="55">
        <f t="shared" si="25"/>
        <v>0</v>
      </c>
    </row>
    <row r="188" spans="1:34" ht="13.8" thickBot="1" x14ac:dyDescent="0.3">
      <c r="A188" s="41">
        <v>3</v>
      </c>
      <c r="B188" s="54" t="s">
        <v>94</v>
      </c>
      <c r="C188" s="30">
        <f>COUNTIFS('AT. MEDICAS 2024'!$A$9:$A$874,"01/08/2025",'AT. MEDICAS 2024'!$I$9:$I$874,B188)</f>
        <v>0</v>
      </c>
      <c r="D188" s="30">
        <f>COUNTIFS('AT. MEDICAS 2024'!$A$9:$A$874,"02/08/2025",'AT. MEDICAS 2024'!$I$9:$I$874,B188)</f>
        <v>0</v>
      </c>
      <c r="E188" s="30">
        <f>COUNTIFS('AT. MEDICAS 2024'!$A$9:$A$874,"03/08/2025",'AT. MEDICAS 2024'!$I$9:$I$874,B188)</f>
        <v>0</v>
      </c>
      <c r="F188" s="30">
        <f>COUNTIFS('AT. MEDICAS 2024'!$A$9:$A$874,"04/08/2025",'AT. MEDICAS 2024'!$I$9:$I$874,B188)</f>
        <v>0</v>
      </c>
      <c r="G188" s="30">
        <f>COUNTIFS('AT. MEDICAS 2024'!$A$9:$A$874,"05/08/2025",'AT. MEDICAS 2024'!$I$9:$I$874,B188)</f>
        <v>0</v>
      </c>
      <c r="H188" s="30">
        <f>COUNTIFS('AT. MEDICAS 2024'!$A$9:$A$874,"06/08/2025",'AT. MEDICAS 2024'!$I$9:$I$874,B188)</f>
        <v>0</v>
      </c>
      <c r="I188" s="30">
        <f>COUNTIFS('AT. MEDICAS 2024'!$A$9:$A$874,"07/08/2025",'AT. MEDICAS 2024'!$I$9:$I$874,B188)</f>
        <v>0</v>
      </c>
      <c r="J188" s="30">
        <f>COUNTIFS('AT. MEDICAS 2024'!$A$9:$A$874,"08/08/2025",'AT. MEDICAS 2024'!$I$9:$I$874,B188)</f>
        <v>0</v>
      </c>
      <c r="K188" s="30">
        <f>COUNTIFS('AT. MEDICAS 2024'!$A$9:$A$874,"09/08/2025",'AT. MEDICAS 2024'!$I$9:$I$874,B188)</f>
        <v>0</v>
      </c>
      <c r="L188" s="30">
        <f>COUNTIFS('AT. MEDICAS 2024'!$A$9:$A$874,"10/08/2025",'AT. MEDICAS 2024'!$I$9:$I$874,B188)</f>
        <v>0</v>
      </c>
      <c r="M188" s="30">
        <f>COUNTIFS('AT. MEDICAS 2024'!$A$9:$A$874,"11/08/2025",'AT. MEDICAS 2024'!$I$9:$I$874,B188)</f>
        <v>0</v>
      </c>
      <c r="N188" s="30">
        <f>COUNTIFS('AT. MEDICAS 2024'!$A$9:$A$874,"12/08/2025",'AT. MEDICAS 2024'!$I$9:$I$874,B188)</f>
        <v>0</v>
      </c>
      <c r="O188" s="30">
        <f>COUNTIFS('AT. MEDICAS 2024'!$A$9:$A$874,"13/08/2025",'AT. MEDICAS 2024'!$I$9:$I$874,B188)</f>
        <v>0</v>
      </c>
      <c r="P188" s="30">
        <f>COUNTIFS('AT. MEDICAS 2024'!$A$9:$A$874,"14/08/2025",'AT. MEDICAS 2024'!$I$9:$I$874,B188)</f>
        <v>0</v>
      </c>
      <c r="Q188" s="30">
        <f>COUNTIFS('AT. MEDICAS 2024'!$A$9:$A$874,"15/08/2025",'AT. MEDICAS 2024'!$I$9:$I$874,B188)</f>
        <v>0</v>
      </c>
      <c r="R188" s="30">
        <f>COUNTIFS('AT. MEDICAS 2024'!$A$9:$A$874,"16/08/2025",'AT. MEDICAS 2024'!$I$9:$I$874,B188)</f>
        <v>0</v>
      </c>
      <c r="S188" s="30">
        <f>COUNTIFS('AT. MEDICAS 2024'!$A$9:$A$874,"17/08/2025",'AT. MEDICAS 2024'!$I$9:$I$874,B188)</f>
        <v>0</v>
      </c>
      <c r="T188" s="30">
        <f>COUNTIFS('AT. MEDICAS 2024'!$A$9:$A$874,"18/08/2025",'AT. MEDICAS 2024'!$I$9:$I$874,B188)</f>
        <v>0</v>
      </c>
      <c r="U188" s="30">
        <f>COUNTIFS('AT. MEDICAS 2024'!$A$9:$A$874,"19/08/2025",'AT. MEDICAS 2024'!$I$9:$I$874,B188)</f>
        <v>0</v>
      </c>
      <c r="V188" s="30">
        <f>COUNTIFS('AT. MEDICAS 2024'!$A$9:$A$874,"20/08/2025",'AT. MEDICAS 2024'!$I$9:$I$874,B188)</f>
        <v>0</v>
      </c>
      <c r="W188" s="30">
        <f>COUNTIFS('AT. MEDICAS 2024'!$A$9:$A$874,"21/08/2025",'AT. MEDICAS 2024'!$I$9:$I$874,B188)</f>
        <v>0</v>
      </c>
      <c r="X188" s="30">
        <f>COUNTIFS('AT. MEDICAS 2024'!$A$9:$A$874,"22/08/2025",'AT. MEDICAS 2024'!$I$9:$I$874,B188)</f>
        <v>0</v>
      </c>
      <c r="Y188" s="30">
        <f>COUNTIFS('AT. MEDICAS 2024'!$A$9:$A$874,"23/08/2025",'AT. MEDICAS 2024'!$I$9:$I$874,B188)</f>
        <v>0</v>
      </c>
      <c r="Z188" s="30">
        <f>COUNTIFS('AT. MEDICAS 2024'!$A$9:$A$874,"24/08/2025",'AT. MEDICAS 2024'!$I$9:$I$874,B188)</f>
        <v>0</v>
      </c>
      <c r="AA188" s="30">
        <f>COUNTIFS('AT. MEDICAS 2024'!$A$9:$A$874,"25/08/2025",'AT. MEDICAS 2024'!$I$9:$I$874,B188)</f>
        <v>0</v>
      </c>
      <c r="AB188" s="30">
        <f>COUNTIFS('AT. MEDICAS 2024'!$A$9:$A$874,"26/08/2025",'AT. MEDICAS 2024'!$I$9:$I$874,B188)</f>
        <v>0</v>
      </c>
      <c r="AC188" s="30">
        <f>COUNTIFS('AT. MEDICAS 2024'!$A$9:$A$874,"27/08/2025",'AT. MEDICAS 2024'!$I$9:$I$874,B188)</f>
        <v>0</v>
      </c>
      <c r="AD188" s="30">
        <f>COUNTIFS('AT. MEDICAS 2024'!$A$9:$A$874,"28/08/2025",'AT. MEDICAS 2024'!$I$9:$I$874,B188)</f>
        <v>0</v>
      </c>
      <c r="AE188" s="30">
        <f>COUNTIFS('AT. MEDICAS 2024'!$A$9:$A$874,"29/08/2025",'AT. MEDICAS 2024'!$I$9:$I$874,B188)</f>
        <v>0</v>
      </c>
      <c r="AF188" s="30">
        <f>COUNTIFS('AT. MEDICAS 2024'!$A$9:$A$874,"30/08/2025",'AT. MEDICAS 2024'!$I$9:$I$874,B188)</f>
        <v>0</v>
      </c>
      <c r="AG188" s="30">
        <f>COUNTIFS('AT. MEDICAS 2024'!$A$9:$A$874,"31/08/2025",'AT. MEDICAS 2024'!$I$9:$I$874,B188)</f>
        <v>0</v>
      </c>
      <c r="AH188" s="55">
        <f t="shared" si="25"/>
        <v>0</v>
      </c>
    </row>
    <row r="189" spans="1:34" ht="13.8" thickBot="1" x14ac:dyDescent="0.3">
      <c r="A189" s="41">
        <v>4</v>
      </c>
      <c r="B189" s="54" t="s">
        <v>50</v>
      </c>
      <c r="C189" s="30">
        <f>COUNTIFS('AT. MEDICAS 2024'!$A$9:$A$874,"01/08/2025",'AT. MEDICAS 2024'!$I$9:$I$874,B189)</f>
        <v>0</v>
      </c>
      <c r="D189" s="30">
        <f>COUNTIFS('AT. MEDICAS 2024'!$A$9:$A$874,"02/08/2025",'AT. MEDICAS 2024'!$I$9:$I$874,B189)</f>
        <v>0</v>
      </c>
      <c r="E189" s="30">
        <f>COUNTIFS('AT. MEDICAS 2024'!$A$9:$A$874,"03/08/2025",'AT. MEDICAS 2024'!$I$9:$I$874,B189)</f>
        <v>0</v>
      </c>
      <c r="F189" s="30">
        <f>COUNTIFS('AT. MEDICAS 2024'!$A$9:$A$874,"04/08/2025",'AT. MEDICAS 2024'!$I$9:$I$874,B189)</f>
        <v>0</v>
      </c>
      <c r="G189" s="30">
        <f>COUNTIFS('AT. MEDICAS 2024'!$A$9:$A$874,"05/08/2025",'AT. MEDICAS 2024'!$I$9:$I$874,B189)</f>
        <v>0</v>
      </c>
      <c r="H189" s="30">
        <f>COUNTIFS('AT. MEDICAS 2024'!$A$9:$A$874,"06/08/2025",'AT. MEDICAS 2024'!$I$9:$I$874,B189)</f>
        <v>0</v>
      </c>
      <c r="I189" s="30">
        <f>COUNTIFS('AT. MEDICAS 2024'!$A$9:$A$874,"07/08/2025",'AT. MEDICAS 2024'!$I$9:$I$874,B189)</f>
        <v>0</v>
      </c>
      <c r="J189" s="30">
        <f>COUNTIFS('AT. MEDICAS 2024'!$A$9:$A$874,"08/08/2025",'AT. MEDICAS 2024'!$I$9:$I$874,B189)</f>
        <v>0</v>
      </c>
      <c r="K189" s="30">
        <f>COUNTIFS('AT. MEDICAS 2024'!$A$9:$A$874,"09/08/2025",'AT. MEDICAS 2024'!$I$9:$I$874,B189)</f>
        <v>0</v>
      </c>
      <c r="L189" s="30">
        <f>COUNTIFS('AT. MEDICAS 2024'!$A$9:$A$874,"10/08/2025",'AT. MEDICAS 2024'!$I$9:$I$874,B189)</f>
        <v>0</v>
      </c>
      <c r="M189" s="30">
        <f>COUNTIFS('AT. MEDICAS 2024'!$A$9:$A$874,"11/08/2025",'AT. MEDICAS 2024'!$I$9:$I$874,B189)</f>
        <v>0</v>
      </c>
      <c r="N189" s="30">
        <f>COUNTIFS('AT. MEDICAS 2024'!$A$9:$A$874,"12/08/2025",'AT. MEDICAS 2024'!$I$9:$I$874,B189)</f>
        <v>0</v>
      </c>
      <c r="O189" s="30">
        <f>COUNTIFS('AT. MEDICAS 2024'!$A$9:$A$874,"13/08/2025",'AT. MEDICAS 2024'!$I$9:$I$874,B189)</f>
        <v>0</v>
      </c>
      <c r="P189" s="30">
        <f>COUNTIFS('AT. MEDICAS 2024'!$A$9:$A$874,"14/08/2025",'AT. MEDICAS 2024'!$I$9:$I$874,B189)</f>
        <v>0</v>
      </c>
      <c r="Q189" s="30">
        <f>COUNTIFS('AT. MEDICAS 2024'!$A$9:$A$874,"15/08/2025",'AT. MEDICAS 2024'!$I$9:$I$874,B189)</f>
        <v>0</v>
      </c>
      <c r="R189" s="30">
        <f>COUNTIFS('AT. MEDICAS 2024'!$A$9:$A$874,"16/08/2025",'AT. MEDICAS 2024'!$I$9:$I$874,B189)</f>
        <v>0</v>
      </c>
      <c r="S189" s="30">
        <f>COUNTIFS('AT. MEDICAS 2024'!$A$9:$A$874,"17/08/2025",'AT. MEDICAS 2024'!$I$9:$I$874,B189)</f>
        <v>0</v>
      </c>
      <c r="T189" s="30">
        <f>COUNTIFS('AT. MEDICAS 2024'!$A$9:$A$874,"18/08/2025",'AT. MEDICAS 2024'!$I$9:$I$874,B189)</f>
        <v>0</v>
      </c>
      <c r="U189" s="30">
        <f>COUNTIFS('AT. MEDICAS 2024'!$A$9:$A$874,"19/08/2025",'AT. MEDICAS 2024'!$I$9:$I$874,B189)</f>
        <v>0</v>
      </c>
      <c r="V189" s="30">
        <f>COUNTIFS('AT. MEDICAS 2024'!$A$9:$A$874,"20/08/2025",'AT. MEDICAS 2024'!$I$9:$I$874,B189)</f>
        <v>0</v>
      </c>
      <c r="W189" s="30">
        <f>COUNTIFS('AT. MEDICAS 2024'!$A$9:$A$874,"21/08/2025",'AT. MEDICAS 2024'!$I$9:$I$874,B189)</f>
        <v>0</v>
      </c>
      <c r="X189" s="30">
        <f>COUNTIFS('AT. MEDICAS 2024'!$A$9:$A$874,"22/08/2025",'AT. MEDICAS 2024'!$I$9:$I$874,B189)</f>
        <v>0</v>
      </c>
      <c r="Y189" s="30">
        <f>COUNTIFS('AT. MEDICAS 2024'!$A$9:$A$874,"23/08/2025",'AT. MEDICAS 2024'!$I$9:$I$874,B189)</f>
        <v>0</v>
      </c>
      <c r="Z189" s="30">
        <f>COUNTIFS('AT. MEDICAS 2024'!$A$9:$A$874,"24/08/2025",'AT. MEDICAS 2024'!$I$9:$I$874,B189)</f>
        <v>0</v>
      </c>
      <c r="AA189" s="30">
        <f>COUNTIFS('AT. MEDICAS 2024'!$A$9:$A$874,"25/08/2025",'AT. MEDICAS 2024'!$I$9:$I$874,B189)</f>
        <v>0</v>
      </c>
      <c r="AB189" s="30">
        <f>COUNTIFS('AT. MEDICAS 2024'!$A$9:$A$874,"26/08/2025",'AT. MEDICAS 2024'!$I$9:$I$874,B189)</f>
        <v>0</v>
      </c>
      <c r="AC189" s="30">
        <f>COUNTIFS('AT. MEDICAS 2024'!$A$9:$A$874,"27/08/2025",'AT. MEDICAS 2024'!$I$9:$I$874,B189)</f>
        <v>0</v>
      </c>
      <c r="AD189" s="30">
        <f>COUNTIFS('AT. MEDICAS 2024'!$A$9:$A$874,"28/08/2025",'AT. MEDICAS 2024'!$I$9:$I$874,B189)</f>
        <v>0</v>
      </c>
      <c r="AE189" s="30">
        <f>COUNTIFS('AT. MEDICAS 2024'!$A$9:$A$874,"29/08/2025",'AT. MEDICAS 2024'!$I$9:$I$874,B189)</f>
        <v>0</v>
      </c>
      <c r="AF189" s="30">
        <f>COUNTIFS('AT. MEDICAS 2024'!$A$9:$A$874,"30/08/2025",'AT. MEDICAS 2024'!$I$9:$I$874,B189)</f>
        <v>0</v>
      </c>
      <c r="AG189" s="30">
        <f>COUNTIFS('AT. MEDICAS 2024'!$A$9:$A$874,"31/08/2025",'AT. MEDICAS 2024'!$I$9:$I$874,B189)</f>
        <v>0</v>
      </c>
      <c r="AH189" s="55">
        <f t="shared" si="25"/>
        <v>0</v>
      </c>
    </row>
    <row r="190" spans="1:34" ht="13.8" thickBot="1" x14ac:dyDescent="0.3">
      <c r="A190" s="41">
        <v>5</v>
      </c>
      <c r="B190" s="54" t="s">
        <v>187</v>
      </c>
      <c r="C190" s="30">
        <f>COUNTIFS('AT. MEDICAS 2024'!$A$9:$A$874,"01/08/2025",'AT. MEDICAS 2024'!$I$9:$I$874,B190)</f>
        <v>0</v>
      </c>
      <c r="D190" s="30">
        <f>COUNTIFS('AT. MEDICAS 2024'!$A$9:$A$874,"02/08/2025",'AT. MEDICAS 2024'!$I$9:$I$874,B190)</f>
        <v>0</v>
      </c>
      <c r="E190" s="30">
        <f>COUNTIFS('AT. MEDICAS 2024'!$A$9:$A$874,"03/08/2025",'AT. MEDICAS 2024'!$I$9:$I$874,B190)</f>
        <v>0</v>
      </c>
      <c r="F190" s="30">
        <f>COUNTIFS('AT. MEDICAS 2024'!$A$9:$A$874,"04/08/2025",'AT. MEDICAS 2024'!$I$9:$I$874,B190)</f>
        <v>0</v>
      </c>
      <c r="G190" s="30">
        <f>COUNTIFS('AT. MEDICAS 2024'!$A$9:$A$874,"05/08/2025",'AT. MEDICAS 2024'!$I$9:$I$874,B190)</f>
        <v>0</v>
      </c>
      <c r="H190" s="30">
        <f>COUNTIFS('AT. MEDICAS 2024'!$A$9:$A$874,"06/08/2025",'AT. MEDICAS 2024'!$I$9:$I$874,B190)</f>
        <v>0</v>
      </c>
      <c r="I190" s="30">
        <f>COUNTIFS('AT. MEDICAS 2024'!$A$9:$A$874,"07/08/2025",'AT. MEDICAS 2024'!$I$9:$I$874,B190)</f>
        <v>0</v>
      </c>
      <c r="J190" s="30">
        <f>COUNTIFS('AT. MEDICAS 2024'!$A$9:$A$874,"08/08/2025",'AT. MEDICAS 2024'!$I$9:$I$874,B190)</f>
        <v>0</v>
      </c>
      <c r="K190" s="30">
        <f>COUNTIFS('AT. MEDICAS 2024'!$A$9:$A$874,"09/08/2025",'AT. MEDICAS 2024'!$I$9:$I$874,B190)</f>
        <v>0</v>
      </c>
      <c r="L190" s="30">
        <f>COUNTIFS('AT. MEDICAS 2024'!$A$9:$A$874,"10/08/2025",'AT. MEDICAS 2024'!$I$9:$I$874,B190)</f>
        <v>0</v>
      </c>
      <c r="M190" s="30">
        <f>COUNTIFS('AT. MEDICAS 2024'!$A$9:$A$874,"11/08/2025",'AT. MEDICAS 2024'!$I$9:$I$874,B190)</f>
        <v>0</v>
      </c>
      <c r="N190" s="30">
        <f>COUNTIFS('AT. MEDICAS 2024'!$A$9:$A$874,"12/08/2025",'AT. MEDICAS 2024'!$I$9:$I$874,B190)</f>
        <v>0</v>
      </c>
      <c r="O190" s="30">
        <f>COUNTIFS('AT. MEDICAS 2024'!$A$9:$A$874,"13/08/2025",'AT. MEDICAS 2024'!$I$9:$I$874,B190)</f>
        <v>0</v>
      </c>
      <c r="P190" s="30">
        <f>COUNTIFS('AT. MEDICAS 2024'!$A$9:$A$874,"14/08/2025",'AT. MEDICAS 2024'!$I$9:$I$874,B190)</f>
        <v>0</v>
      </c>
      <c r="Q190" s="30">
        <f>COUNTIFS('AT. MEDICAS 2024'!$A$9:$A$874,"15/08/2025",'AT. MEDICAS 2024'!$I$9:$I$874,B190)</f>
        <v>0</v>
      </c>
      <c r="R190" s="30">
        <f>COUNTIFS('AT. MEDICAS 2024'!$A$9:$A$874,"16/08/2025",'AT. MEDICAS 2024'!$I$9:$I$874,B190)</f>
        <v>0</v>
      </c>
      <c r="S190" s="30">
        <f>COUNTIFS('AT. MEDICAS 2024'!$A$9:$A$874,"17/08/2025",'AT. MEDICAS 2024'!$I$9:$I$874,B190)</f>
        <v>0</v>
      </c>
      <c r="T190" s="30">
        <f>COUNTIFS('AT. MEDICAS 2024'!$A$9:$A$874,"18/08/2025",'AT. MEDICAS 2024'!$I$9:$I$874,B190)</f>
        <v>0</v>
      </c>
      <c r="U190" s="30">
        <f>COUNTIFS('AT. MEDICAS 2024'!$A$9:$A$874,"19/08/2025",'AT. MEDICAS 2024'!$I$9:$I$874,B190)</f>
        <v>0</v>
      </c>
      <c r="V190" s="30">
        <f>COUNTIFS('AT. MEDICAS 2024'!$A$9:$A$874,"20/08/2025",'AT. MEDICAS 2024'!$I$9:$I$874,B190)</f>
        <v>0</v>
      </c>
      <c r="W190" s="30">
        <f>COUNTIFS('AT. MEDICAS 2024'!$A$9:$A$874,"21/08/2025",'AT. MEDICAS 2024'!$I$9:$I$874,B190)</f>
        <v>0</v>
      </c>
      <c r="X190" s="30">
        <f>COUNTIFS('AT. MEDICAS 2024'!$A$9:$A$874,"22/08/2025",'AT. MEDICAS 2024'!$I$9:$I$874,B190)</f>
        <v>0</v>
      </c>
      <c r="Y190" s="30">
        <f>COUNTIFS('AT. MEDICAS 2024'!$A$9:$A$874,"23/08/2025",'AT. MEDICAS 2024'!$I$9:$I$874,B190)</f>
        <v>0</v>
      </c>
      <c r="Z190" s="30">
        <f>COUNTIFS('AT. MEDICAS 2024'!$A$9:$A$874,"24/08/2025",'AT. MEDICAS 2024'!$I$9:$I$874,B190)</f>
        <v>0</v>
      </c>
      <c r="AA190" s="30">
        <f>COUNTIFS('AT. MEDICAS 2024'!$A$9:$A$874,"25/08/2025",'AT. MEDICAS 2024'!$I$9:$I$874,B190)</f>
        <v>0</v>
      </c>
      <c r="AB190" s="30">
        <f>COUNTIFS('AT. MEDICAS 2024'!$A$9:$A$874,"26/08/2025",'AT. MEDICAS 2024'!$I$9:$I$874,B190)</f>
        <v>0</v>
      </c>
      <c r="AC190" s="30">
        <f>COUNTIFS('AT. MEDICAS 2024'!$A$9:$A$874,"27/08/2025",'AT. MEDICAS 2024'!$I$9:$I$874,B190)</f>
        <v>0</v>
      </c>
      <c r="AD190" s="30">
        <f>COUNTIFS('AT. MEDICAS 2024'!$A$9:$A$874,"28/08/2025",'AT. MEDICAS 2024'!$I$9:$I$874,B190)</f>
        <v>0</v>
      </c>
      <c r="AE190" s="30">
        <f>COUNTIFS('AT. MEDICAS 2024'!$A$9:$A$874,"29/08/2025",'AT. MEDICAS 2024'!$I$9:$I$874,B190)</f>
        <v>0</v>
      </c>
      <c r="AF190" s="30">
        <f>COUNTIFS('AT. MEDICAS 2024'!$A$9:$A$874,"30/08/2025",'AT. MEDICAS 2024'!$I$9:$I$874,B190)</f>
        <v>0</v>
      </c>
      <c r="AG190" s="30">
        <f>COUNTIFS('AT. MEDICAS 2024'!$A$9:$A$874,"31/08/2025",'AT. MEDICAS 2024'!$I$9:$I$874,B190)</f>
        <v>0</v>
      </c>
      <c r="AH190" s="55">
        <f t="shared" si="25"/>
        <v>0</v>
      </c>
    </row>
    <row r="191" spans="1:34" ht="13.8" thickBot="1" x14ac:dyDescent="0.3">
      <c r="A191" s="41">
        <v>6</v>
      </c>
      <c r="B191" s="54" t="s">
        <v>46</v>
      </c>
      <c r="C191" s="30">
        <f>COUNTIFS('AT. MEDICAS 2024'!$A$9:$A$874,"01/08/2025",'AT. MEDICAS 2024'!$I$9:$I$874,B191)</f>
        <v>0</v>
      </c>
      <c r="D191" s="30">
        <f>COUNTIFS('AT. MEDICAS 2024'!$A$9:$A$874,"02/08/2025",'AT. MEDICAS 2024'!$I$9:$I$874,B191)</f>
        <v>0</v>
      </c>
      <c r="E191" s="30">
        <f>COUNTIFS('AT. MEDICAS 2024'!$A$9:$A$874,"03/08/2025",'AT. MEDICAS 2024'!$I$9:$I$874,B191)</f>
        <v>0</v>
      </c>
      <c r="F191" s="30">
        <f>COUNTIFS('AT. MEDICAS 2024'!$A$9:$A$874,"04/08/2025",'AT. MEDICAS 2024'!$I$9:$I$874,B191)</f>
        <v>0</v>
      </c>
      <c r="G191" s="30">
        <f>COUNTIFS('AT. MEDICAS 2024'!$A$9:$A$874,"05/08/2025",'AT. MEDICAS 2024'!$I$9:$I$874,B191)</f>
        <v>0</v>
      </c>
      <c r="H191" s="30">
        <f>COUNTIFS('AT. MEDICAS 2024'!$A$9:$A$874,"06/08/2025",'AT. MEDICAS 2024'!$I$9:$I$874,B191)</f>
        <v>0</v>
      </c>
      <c r="I191" s="30">
        <f>COUNTIFS('AT. MEDICAS 2024'!$A$9:$A$874,"07/08/2025",'AT. MEDICAS 2024'!$I$9:$I$874,B191)</f>
        <v>0</v>
      </c>
      <c r="J191" s="30">
        <f>COUNTIFS('AT. MEDICAS 2024'!$A$9:$A$874,"08/08/2025",'AT. MEDICAS 2024'!$I$9:$I$874,B191)</f>
        <v>0</v>
      </c>
      <c r="K191" s="30">
        <f>COUNTIFS('AT. MEDICAS 2024'!$A$9:$A$874,"09/08/2025",'AT. MEDICAS 2024'!$I$9:$I$874,B191)</f>
        <v>0</v>
      </c>
      <c r="L191" s="30">
        <f>COUNTIFS('AT. MEDICAS 2024'!$A$9:$A$874,"10/08/2025",'AT. MEDICAS 2024'!$I$9:$I$874,B191)</f>
        <v>0</v>
      </c>
      <c r="M191" s="30">
        <f>COUNTIFS('AT. MEDICAS 2024'!$A$9:$A$874,"11/08/2025",'AT. MEDICAS 2024'!$I$9:$I$874,B191)</f>
        <v>0</v>
      </c>
      <c r="N191" s="30">
        <f>COUNTIFS('AT. MEDICAS 2024'!$A$9:$A$874,"12/08/2025",'AT. MEDICAS 2024'!$I$9:$I$874,B191)</f>
        <v>0</v>
      </c>
      <c r="O191" s="30">
        <f>COUNTIFS('AT. MEDICAS 2024'!$A$9:$A$874,"13/08/2025",'AT. MEDICAS 2024'!$I$9:$I$874,B191)</f>
        <v>0</v>
      </c>
      <c r="P191" s="30">
        <f>COUNTIFS('AT. MEDICAS 2024'!$A$9:$A$874,"14/08/2025",'AT. MEDICAS 2024'!$I$9:$I$874,B191)</f>
        <v>0</v>
      </c>
      <c r="Q191" s="30">
        <f>COUNTIFS('AT. MEDICAS 2024'!$A$9:$A$874,"15/08/2025",'AT. MEDICAS 2024'!$I$9:$I$874,B191)</f>
        <v>0</v>
      </c>
      <c r="R191" s="30">
        <f>COUNTIFS('AT. MEDICAS 2024'!$A$9:$A$874,"16/08/2025",'AT. MEDICAS 2024'!$I$9:$I$874,B191)</f>
        <v>0</v>
      </c>
      <c r="S191" s="30">
        <f>COUNTIFS('AT. MEDICAS 2024'!$A$9:$A$874,"17/08/2025",'AT. MEDICAS 2024'!$I$9:$I$874,B191)</f>
        <v>0</v>
      </c>
      <c r="T191" s="30">
        <f>COUNTIFS('AT. MEDICAS 2024'!$A$9:$A$874,"18/08/2025",'AT. MEDICAS 2024'!$I$9:$I$874,B191)</f>
        <v>0</v>
      </c>
      <c r="U191" s="30">
        <f>COUNTIFS('AT. MEDICAS 2024'!$A$9:$A$874,"19/08/2025",'AT. MEDICAS 2024'!$I$9:$I$874,B191)</f>
        <v>0</v>
      </c>
      <c r="V191" s="30">
        <f>COUNTIFS('AT. MEDICAS 2024'!$A$9:$A$874,"20/08/2025",'AT. MEDICAS 2024'!$I$9:$I$874,B191)</f>
        <v>0</v>
      </c>
      <c r="W191" s="30">
        <f>COUNTIFS('AT. MEDICAS 2024'!$A$9:$A$874,"21/08/2025",'AT. MEDICAS 2024'!$I$9:$I$874,B191)</f>
        <v>0</v>
      </c>
      <c r="X191" s="30">
        <f>COUNTIFS('AT. MEDICAS 2024'!$A$9:$A$874,"22/08/2025",'AT. MEDICAS 2024'!$I$9:$I$874,B191)</f>
        <v>0</v>
      </c>
      <c r="Y191" s="30">
        <f>COUNTIFS('AT. MEDICAS 2024'!$A$9:$A$874,"23/08/2025",'AT. MEDICAS 2024'!$I$9:$I$874,B191)</f>
        <v>0</v>
      </c>
      <c r="Z191" s="30">
        <f>COUNTIFS('AT. MEDICAS 2024'!$A$9:$A$874,"24/08/2025",'AT. MEDICAS 2024'!$I$9:$I$874,B191)</f>
        <v>0</v>
      </c>
      <c r="AA191" s="30">
        <f>COUNTIFS('AT. MEDICAS 2024'!$A$9:$A$874,"25/08/2025",'AT. MEDICAS 2024'!$I$9:$I$874,B191)</f>
        <v>0</v>
      </c>
      <c r="AB191" s="30">
        <f>COUNTIFS('AT. MEDICAS 2024'!$A$9:$A$874,"26/08/2025",'AT. MEDICAS 2024'!$I$9:$I$874,B191)</f>
        <v>0</v>
      </c>
      <c r="AC191" s="30">
        <f>COUNTIFS('AT. MEDICAS 2024'!$A$9:$A$874,"27/08/2025",'AT. MEDICAS 2024'!$I$9:$I$874,B191)</f>
        <v>0</v>
      </c>
      <c r="AD191" s="30">
        <f>COUNTIFS('AT. MEDICAS 2024'!$A$9:$A$874,"28/08/2025",'AT. MEDICAS 2024'!$I$9:$I$874,B191)</f>
        <v>0</v>
      </c>
      <c r="AE191" s="30">
        <f>COUNTIFS('AT. MEDICAS 2024'!$A$9:$A$874,"29/08/2025",'AT. MEDICAS 2024'!$I$9:$I$874,B191)</f>
        <v>0</v>
      </c>
      <c r="AF191" s="30">
        <f>COUNTIFS('AT. MEDICAS 2024'!$A$9:$A$874,"30/08/2025",'AT. MEDICAS 2024'!$I$9:$I$874,B191)</f>
        <v>0</v>
      </c>
      <c r="AG191" s="30">
        <f>COUNTIFS('AT. MEDICAS 2024'!$A$9:$A$874,"31/08/2025",'AT. MEDICAS 2024'!$I$9:$I$874,B191)</f>
        <v>0</v>
      </c>
      <c r="AH191" s="55">
        <f t="shared" si="25"/>
        <v>0</v>
      </c>
    </row>
    <row r="192" spans="1:34" ht="13.8" thickBot="1" x14ac:dyDescent="0.3">
      <c r="A192" s="41">
        <v>7</v>
      </c>
      <c r="B192" s="54" t="s">
        <v>36</v>
      </c>
      <c r="C192" s="30">
        <f>COUNTIFS('AT. MEDICAS 2024'!$A$9:$A$874,"01/08/2025",'AT. MEDICAS 2024'!$I$9:$I$874,B192)</f>
        <v>0</v>
      </c>
      <c r="D192" s="30">
        <f>COUNTIFS('AT. MEDICAS 2024'!$A$9:$A$874,"02/08/2025",'AT. MEDICAS 2024'!$I$9:$I$874,B192)</f>
        <v>0</v>
      </c>
      <c r="E192" s="30">
        <f>COUNTIFS('AT. MEDICAS 2024'!$A$9:$A$874,"03/08/2025",'AT. MEDICAS 2024'!$I$9:$I$874,B192)</f>
        <v>0</v>
      </c>
      <c r="F192" s="30">
        <f>COUNTIFS('AT. MEDICAS 2024'!$A$9:$A$874,"04/08/2025",'AT. MEDICAS 2024'!$I$9:$I$874,B192)</f>
        <v>0</v>
      </c>
      <c r="G192" s="30">
        <f>COUNTIFS('AT. MEDICAS 2024'!$A$9:$A$874,"05/08/2025",'AT. MEDICAS 2024'!$I$9:$I$874,B192)</f>
        <v>0</v>
      </c>
      <c r="H192" s="30">
        <f>COUNTIFS('AT. MEDICAS 2024'!$A$9:$A$874,"06/08/2025",'AT. MEDICAS 2024'!$I$9:$I$874,B192)</f>
        <v>0</v>
      </c>
      <c r="I192" s="30">
        <f>COUNTIFS('AT. MEDICAS 2024'!$A$9:$A$874,"07/08/2025",'AT. MEDICAS 2024'!$I$9:$I$874,B192)</f>
        <v>0</v>
      </c>
      <c r="J192" s="30">
        <f>COUNTIFS('AT. MEDICAS 2024'!$A$9:$A$874,"08/08/2025",'AT. MEDICAS 2024'!$I$9:$I$874,B192)</f>
        <v>0</v>
      </c>
      <c r="K192" s="30">
        <f>COUNTIFS('AT. MEDICAS 2024'!$A$9:$A$874,"09/08/2025",'AT. MEDICAS 2024'!$I$9:$I$874,B192)</f>
        <v>0</v>
      </c>
      <c r="L192" s="30">
        <f>COUNTIFS('AT. MEDICAS 2024'!$A$9:$A$874,"10/08/2025",'AT. MEDICAS 2024'!$I$9:$I$874,B192)</f>
        <v>0</v>
      </c>
      <c r="M192" s="30">
        <f>COUNTIFS('AT. MEDICAS 2024'!$A$9:$A$874,"11/08/2025",'AT. MEDICAS 2024'!$I$9:$I$874,B192)</f>
        <v>0</v>
      </c>
      <c r="N192" s="30">
        <f>COUNTIFS('AT. MEDICAS 2024'!$A$9:$A$874,"12/08/2025",'AT. MEDICAS 2024'!$I$9:$I$874,B192)</f>
        <v>0</v>
      </c>
      <c r="O192" s="30">
        <f>COUNTIFS('AT. MEDICAS 2024'!$A$9:$A$874,"13/08/2025",'AT. MEDICAS 2024'!$I$9:$I$874,B192)</f>
        <v>0</v>
      </c>
      <c r="P192" s="30">
        <f>COUNTIFS('AT. MEDICAS 2024'!$A$9:$A$874,"14/08/2025",'AT. MEDICAS 2024'!$I$9:$I$874,B192)</f>
        <v>0</v>
      </c>
      <c r="Q192" s="30">
        <f>COUNTIFS('AT. MEDICAS 2024'!$A$9:$A$874,"15/08/2025",'AT. MEDICAS 2024'!$I$9:$I$874,B192)</f>
        <v>0</v>
      </c>
      <c r="R192" s="30">
        <f>COUNTIFS('AT. MEDICAS 2024'!$A$9:$A$874,"16/08/2025",'AT. MEDICAS 2024'!$I$9:$I$874,B192)</f>
        <v>0</v>
      </c>
      <c r="S192" s="30">
        <f>COUNTIFS('AT. MEDICAS 2024'!$A$9:$A$874,"17/08/2025",'AT. MEDICAS 2024'!$I$9:$I$874,B192)</f>
        <v>0</v>
      </c>
      <c r="T192" s="30">
        <f>COUNTIFS('AT. MEDICAS 2024'!$A$9:$A$874,"18/08/2025",'AT. MEDICAS 2024'!$I$9:$I$874,B192)</f>
        <v>0</v>
      </c>
      <c r="U192" s="30">
        <f>COUNTIFS('AT. MEDICAS 2024'!$A$9:$A$874,"19/08/2025",'AT. MEDICAS 2024'!$I$9:$I$874,B192)</f>
        <v>0</v>
      </c>
      <c r="V192" s="30">
        <f>COUNTIFS('AT. MEDICAS 2024'!$A$9:$A$874,"20/08/2025",'AT. MEDICAS 2024'!$I$9:$I$874,B192)</f>
        <v>0</v>
      </c>
      <c r="W192" s="30">
        <f>COUNTIFS('AT. MEDICAS 2024'!$A$9:$A$874,"21/08/2025",'AT. MEDICAS 2024'!$I$9:$I$874,B192)</f>
        <v>0</v>
      </c>
      <c r="X192" s="30">
        <f>COUNTIFS('AT. MEDICAS 2024'!$A$9:$A$874,"22/08/2025",'AT. MEDICAS 2024'!$I$9:$I$874,B192)</f>
        <v>0</v>
      </c>
      <c r="Y192" s="30">
        <f>COUNTIFS('AT. MEDICAS 2024'!$A$9:$A$874,"23/08/2025",'AT. MEDICAS 2024'!$I$9:$I$874,B192)</f>
        <v>0</v>
      </c>
      <c r="Z192" s="30">
        <f>COUNTIFS('AT. MEDICAS 2024'!$A$9:$A$874,"24/08/2025",'AT. MEDICAS 2024'!$I$9:$I$874,B192)</f>
        <v>0</v>
      </c>
      <c r="AA192" s="30">
        <f>COUNTIFS('AT. MEDICAS 2024'!$A$9:$A$874,"25/08/2025",'AT. MEDICAS 2024'!$I$9:$I$874,B192)</f>
        <v>0</v>
      </c>
      <c r="AB192" s="30">
        <f>COUNTIFS('AT. MEDICAS 2024'!$A$9:$A$874,"26/08/2025",'AT. MEDICAS 2024'!$I$9:$I$874,B192)</f>
        <v>0</v>
      </c>
      <c r="AC192" s="30">
        <f>COUNTIFS('AT. MEDICAS 2024'!$A$9:$A$874,"27/08/2025",'AT. MEDICAS 2024'!$I$9:$I$874,B192)</f>
        <v>0</v>
      </c>
      <c r="AD192" s="30">
        <f>COUNTIFS('AT. MEDICAS 2024'!$A$9:$A$874,"28/08/2025",'AT. MEDICAS 2024'!$I$9:$I$874,B192)</f>
        <v>0</v>
      </c>
      <c r="AE192" s="30">
        <f>COUNTIFS('AT. MEDICAS 2024'!$A$9:$A$874,"29/08/2025",'AT. MEDICAS 2024'!$I$9:$I$874,B192)</f>
        <v>0</v>
      </c>
      <c r="AF192" s="30">
        <f>COUNTIFS('AT. MEDICAS 2024'!$A$9:$A$874,"30/08/2025",'AT. MEDICAS 2024'!$I$9:$I$874,B192)</f>
        <v>0</v>
      </c>
      <c r="AG192" s="30">
        <f>COUNTIFS('AT. MEDICAS 2024'!$A$9:$A$874,"31/08/2025",'AT. MEDICAS 2024'!$I$9:$I$874,B192)</f>
        <v>0</v>
      </c>
      <c r="AH192" s="55">
        <f t="shared" si="25"/>
        <v>0</v>
      </c>
    </row>
    <row r="193" spans="1:34" ht="13.8" thickBot="1" x14ac:dyDescent="0.3">
      <c r="A193" s="41">
        <v>8</v>
      </c>
      <c r="B193" s="54" t="s">
        <v>92</v>
      </c>
      <c r="C193" s="30">
        <f>COUNTIFS('AT. MEDICAS 2024'!$A$9:$A$874,"01/08/2025",'AT. MEDICAS 2024'!$I$9:$I$874,B193)</f>
        <v>0</v>
      </c>
      <c r="D193" s="30">
        <f>COUNTIFS('AT. MEDICAS 2024'!$A$9:$A$874,"02/08/2025",'AT. MEDICAS 2024'!$I$9:$I$874,B193)</f>
        <v>0</v>
      </c>
      <c r="E193" s="30">
        <f>COUNTIFS('AT. MEDICAS 2024'!$A$9:$A$874,"03/08/2025",'AT. MEDICAS 2024'!$I$9:$I$874,B193)</f>
        <v>0</v>
      </c>
      <c r="F193" s="30">
        <f>COUNTIFS('AT. MEDICAS 2024'!$A$9:$A$874,"04/08/2025",'AT. MEDICAS 2024'!$I$9:$I$874,B193)</f>
        <v>0</v>
      </c>
      <c r="G193" s="30">
        <f>COUNTIFS('AT. MEDICAS 2024'!$A$9:$A$874,"05/08/2025",'AT. MEDICAS 2024'!$I$9:$I$874,B193)</f>
        <v>0</v>
      </c>
      <c r="H193" s="30">
        <f>COUNTIFS('AT. MEDICAS 2024'!$A$9:$A$874,"06/08/2025",'AT. MEDICAS 2024'!$I$9:$I$874,B193)</f>
        <v>0</v>
      </c>
      <c r="I193" s="30">
        <f>COUNTIFS('AT. MEDICAS 2024'!$A$9:$A$874,"07/08/2025",'AT. MEDICAS 2024'!$I$9:$I$874,B193)</f>
        <v>0</v>
      </c>
      <c r="J193" s="30">
        <f>COUNTIFS('AT. MEDICAS 2024'!$A$9:$A$874,"08/08/2025",'AT. MEDICAS 2024'!$I$9:$I$874,B193)</f>
        <v>0</v>
      </c>
      <c r="K193" s="30">
        <f>COUNTIFS('AT. MEDICAS 2024'!$A$9:$A$874,"09/08/2025",'AT. MEDICAS 2024'!$I$9:$I$874,B193)</f>
        <v>0</v>
      </c>
      <c r="L193" s="30">
        <f>COUNTIFS('AT. MEDICAS 2024'!$A$9:$A$874,"10/08/2025",'AT. MEDICAS 2024'!$I$9:$I$874,B193)</f>
        <v>0</v>
      </c>
      <c r="M193" s="30">
        <f>COUNTIFS('AT. MEDICAS 2024'!$A$9:$A$874,"11/08/2025",'AT. MEDICAS 2024'!$I$9:$I$874,B193)</f>
        <v>0</v>
      </c>
      <c r="N193" s="30">
        <f>COUNTIFS('AT. MEDICAS 2024'!$A$9:$A$874,"12/08/2025",'AT. MEDICAS 2024'!$I$9:$I$874,B193)</f>
        <v>0</v>
      </c>
      <c r="O193" s="30">
        <f>COUNTIFS('AT. MEDICAS 2024'!$A$9:$A$874,"13/08/2025",'AT. MEDICAS 2024'!$I$9:$I$874,B193)</f>
        <v>0</v>
      </c>
      <c r="P193" s="30">
        <f>COUNTIFS('AT. MEDICAS 2024'!$A$9:$A$874,"14/08/2025",'AT. MEDICAS 2024'!$I$9:$I$874,B193)</f>
        <v>0</v>
      </c>
      <c r="Q193" s="30">
        <f>COUNTIFS('AT. MEDICAS 2024'!$A$9:$A$874,"15/08/2025",'AT. MEDICAS 2024'!$I$9:$I$874,B193)</f>
        <v>0</v>
      </c>
      <c r="R193" s="30">
        <f>COUNTIFS('AT. MEDICAS 2024'!$A$9:$A$874,"16/08/2025",'AT. MEDICAS 2024'!$I$9:$I$874,B193)</f>
        <v>0</v>
      </c>
      <c r="S193" s="30">
        <f>COUNTIFS('AT. MEDICAS 2024'!$A$9:$A$874,"17/08/2025",'AT. MEDICAS 2024'!$I$9:$I$874,B193)</f>
        <v>0</v>
      </c>
      <c r="T193" s="30">
        <f>COUNTIFS('AT. MEDICAS 2024'!$A$9:$A$874,"18/08/2025",'AT. MEDICAS 2024'!$I$9:$I$874,B193)</f>
        <v>0</v>
      </c>
      <c r="U193" s="30">
        <f>COUNTIFS('AT. MEDICAS 2024'!$A$9:$A$874,"19/08/2025",'AT. MEDICAS 2024'!$I$9:$I$874,B193)</f>
        <v>0</v>
      </c>
      <c r="V193" s="30">
        <f>COUNTIFS('AT. MEDICAS 2024'!$A$9:$A$874,"20/08/2025",'AT. MEDICAS 2024'!$I$9:$I$874,B193)</f>
        <v>0</v>
      </c>
      <c r="W193" s="30">
        <f>COUNTIFS('AT. MEDICAS 2024'!$A$9:$A$874,"21/08/2025",'AT. MEDICAS 2024'!$I$9:$I$874,B193)</f>
        <v>0</v>
      </c>
      <c r="X193" s="30">
        <f>COUNTIFS('AT. MEDICAS 2024'!$A$9:$A$874,"22/08/2025",'AT. MEDICAS 2024'!$I$9:$I$874,B193)</f>
        <v>0</v>
      </c>
      <c r="Y193" s="30">
        <f>COUNTIFS('AT. MEDICAS 2024'!$A$9:$A$874,"23/08/2025",'AT. MEDICAS 2024'!$I$9:$I$874,B193)</f>
        <v>0</v>
      </c>
      <c r="Z193" s="30">
        <f>COUNTIFS('AT. MEDICAS 2024'!$A$9:$A$874,"24/08/2025",'AT. MEDICAS 2024'!$I$9:$I$874,B193)</f>
        <v>0</v>
      </c>
      <c r="AA193" s="30">
        <f>COUNTIFS('AT. MEDICAS 2024'!$A$9:$A$874,"25/08/2025",'AT. MEDICAS 2024'!$I$9:$I$874,B193)</f>
        <v>0</v>
      </c>
      <c r="AB193" s="30">
        <f>COUNTIFS('AT. MEDICAS 2024'!$A$9:$A$874,"26/08/2025",'AT. MEDICAS 2024'!$I$9:$I$874,B193)</f>
        <v>0</v>
      </c>
      <c r="AC193" s="30">
        <f>COUNTIFS('AT. MEDICAS 2024'!$A$9:$A$874,"27/08/2025",'AT. MEDICAS 2024'!$I$9:$I$874,B193)</f>
        <v>0</v>
      </c>
      <c r="AD193" s="30">
        <f>COUNTIFS('AT. MEDICAS 2024'!$A$9:$A$874,"28/08/2025",'AT. MEDICAS 2024'!$I$9:$I$874,B193)</f>
        <v>0</v>
      </c>
      <c r="AE193" s="30">
        <f>COUNTIFS('AT. MEDICAS 2024'!$A$9:$A$874,"29/08/2025",'AT. MEDICAS 2024'!$I$9:$I$874,B193)</f>
        <v>0</v>
      </c>
      <c r="AF193" s="30">
        <f>COUNTIFS('AT. MEDICAS 2024'!$A$9:$A$874,"30/08/2025",'AT. MEDICAS 2024'!$I$9:$I$874,B193)</f>
        <v>0</v>
      </c>
      <c r="AG193" s="30">
        <f>COUNTIFS('AT. MEDICAS 2024'!$A$9:$A$874,"31/08/2025",'AT. MEDICAS 2024'!$I$9:$I$874,B193)</f>
        <v>0</v>
      </c>
      <c r="AH193" s="55">
        <f t="shared" si="25"/>
        <v>0</v>
      </c>
    </row>
    <row r="194" spans="1:34" ht="13.8" thickBot="1" x14ac:dyDescent="0.3">
      <c r="A194" s="41">
        <v>9</v>
      </c>
      <c r="B194" s="54" t="s">
        <v>188</v>
      </c>
      <c r="C194" s="30">
        <f>COUNTIFS('AT. MEDICAS 2024'!$A$9:$A$874,"01/08/2025",'AT. MEDICAS 2024'!$I$9:$I$874,B194)</f>
        <v>0</v>
      </c>
      <c r="D194" s="30">
        <f>COUNTIFS('AT. MEDICAS 2024'!$A$9:$A$874,"02/08/2025",'AT. MEDICAS 2024'!$I$9:$I$874,B194)</f>
        <v>0</v>
      </c>
      <c r="E194" s="30">
        <f>COUNTIFS('AT. MEDICAS 2024'!$A$9:$A$874,"03/08/2025",'AT. MEDICAS 2024'!$I$9:$I$874,B194)</f>
        <v>0</v>
      </c>
      <c r="F194" s="30">
        <f>COUNTIFS('AT. MEDICAS 2024'!$A$9:$A$874,"04/08/2025",'AT. MEDICAS 2024'!$I$9:$I$874,B194)</f>
        <v>0</v>
      </c>
      <c r="G194" s="30">
        <f>COUNTIFS('AT. MEDICAS 2024'!$A$9:$A$874,"05/08/2025",'AT. MEDICAS 2024'!$I$9:$I$874,B194)</f>
        <v>0</v>
      </c>
      <c r="H194" s="30">
        <f>COUNTIFS('AT. MEDICAS 2024'!$A$9:$A$874,"06/08/2025",'AT. MEDICAS 2024'!$I$9:$I$874,B194)</f>
        <v>0</v>
      </c>
      <c r="I194" s="30">
        <f>COUNTIFS('AT. MEDICAS 2024'!$A$9:$A$874,"07/08/2025",'AT. MEDICAS 2024'!$I$9:$I$874,B194)</f>
        <v>0</v>
      </c>
      <c r="J194" s="30">
        <f>COUNTIFS('AT. MEDICAS 2024'!$A$9:$A$874,"08/08/2025",'AT. MEDICAS 2024'!$I$9:$I$874,B194)</f>
        <v>0</v>
      </c>
      <c r="K194" s="30">
        <f>COUNTIFS('AT. MEDICAS 2024'!$A$9:$A$874,"09/08/2025",'AT. MEDICAS 2024'!$I$9:$I$874,B194)</f>
        <v>0</v>
      </c>
      <c r="L194" s="30">
        <f>COUNTIFS('AT. MEDICAS 2024'!$A$9:$A$874,"10/08/2025",'AT. MEDICAS 2024'!$I$9:$I$874,B194)</f>
        <v>0</v>
      </c>
      <c r="M194" s="30">
        <f>COUNTIFS('AT. MEDICAS 2024'!$A$9:$A$874,"11/08/2025",'AT. MEDICAS 2024'!$I$9:$I$874,B194)</f>
        <v>0</v>
      </c>
      <c r="N194" s="30">
        <f>COUNTIFS('AT. MEDICAS 2024'!$A$9:$A$874,"12/08/2025",'AT. MEDICAS 2024'!$I$9:$I$874,B194)</f>
        <v>0</v>
      </c>
      <c r="O194" s="30">
        <f>COUNTIFS('AT. MEDICAS 2024'!$A$9:$A$874,"13/08/2025",'AT. MEDICAS 2024'!$I$9:$I$874,B194)</f>
        <v>0</v>
      </c>
      <c r="P194" s="30">
        <f>COUNTIFS('AT. MEDICAS 2024'!$A$9:$A$874,"14/08/2025",'AT. MEDICAS 2024'!$I$9:$I$874,B194)</f>
        <v>0</v>
      </c>
      <c r="Q194" s="30">
        <f>COUNTIFS('AT. MEDICAS 2024'!$A$9:$A$874,"15/08/2025",'AT. MEDICAS 2024'!$I$9:$I$874,B194)</f>
        <v>0</v>
      </c>
      <c r="R194" s="30">
        <f>COUNTIFS('AT. MEDICAS 2024'!$A$9:$A$874,"16/08/2025",'AT. MEDICAS 2024'!$I$9:$I$874,B194)</f>
        <v>0</v>
      </c>
      <c r="S194" s="30">
        <f>COUNTIFS('AT. MEDICAS 2024'!$A$9:$A$874,"17/08/2025",'AT. MEDICAS 2024'!$I$9:$I$874,B194)</f>
        <v>0</v>
      </c>
      <c r="T194" s="30">
        <f>COUNTIFS('AT. MEDICAS 2024'!$A$9:$A$874,"18/08/2025",'AT. MEDICAS 2024'!$I$9:$I$874,B194)</f>
        <v>0</v>
      </c>
      <c r="U194" s="30">
        <f>COUNTIFS('AT. MEDICAS 2024'!$A$9:$A$874,"19/08/2025",'AT. MEDICAS 2024'!$I$9:$I$874,B194)</f>
        <v>0</v>
      </c>
      <c r="V194" s="30">
        <f>COUNTIFS('AT. MEDICAS 2024'!$A$9:$A$874,"20/08/2025",'AT. MEDICAS 2024'!$I$9:$I$874,B194)</f>
        <v>0</v>
      </c>
      <c r="W194" s="30">
        <f>COUNTIFS('AT. MEDICAS 2024'!$A$9:$A$874,"21/08/2025",'AT. MEDICAS 2024'!$I$9:$I$874,B194)</f>
        <v>0</v>
      </c>
      <c r="X194" s="30">
        <f>COUNTIFS('AT. MEDICAS 2024'!$A$9:$A$874,"22/08/2025",'AT. MEDICAS 2024'!$I$9:$I$874,B194)</f>
        <v>0</v>
      </c>
      <c r="Y194" s="30">
        <f>COUNTIFS('AT. MEDICAS 2024'!$A$9:$A$874,"23/08/2025",'AT. MEDICAS 2024'!$I$9:$I$874,B194)</f>
        <v>0</v>
      </c>
      <c r="Z194" s="30">
        <f>COUNTIFS('AT. MEDICAS 2024'!$A$9:$A$874,"24/08/2025",'AT. MEDICAS 2024'!$I$9:$I$874,B194)</f>
        <v>0</v>
      </c>
      <c r="AA194" s="30">
        <f>COUNTIFS('AT. MEDICAS 2024'!$A$9:$A$874,"25/08/2025",'AT. MEDICAS 2024'!$I$9:$I$874,B194)</f>
        <v>0</v>
      </c>
      <c r="AB194" s="30">
        <f>COUNTIFS('AT. MEDICAS 2024'!$A$9:$A$874,"26/08/2025",'AT. MEDICAS 2024'!$I$9:$I$874,B194)</f>
        <v>0</v>
      </c>
      <c r="AC194" s="30">
        <f>COUNTIFS('AT. MEDICAS 2024'!$A$9:$A$874,"27/08/2025",'AT. MEDICAS 2024'!$I$9:$I$874,B194)</f>
        <v>0</v>
      </c>
      <c r="AD194" s="30">
        <f>COUNTIFS('AT. MEDICAS 2024'!$A$9:$A$874,"28/08/2025",'AT. MEDICAS 2024'!$I$9:$I$874,B194)</f>
        <v>0</v>
      </c>
      <c r="AE194" s="30">
        <f>COUNTIFS('AT. MEDICAS 2024'!$A$9:$A$874,"29/08/2025",'AT. MEDICAS 2024'!$I$9:$I$874,B194)</f>
        <v>0</v>
      </c>
      <c r="AF194" s="30">
        <f>COUNTIFS('AT. MEDICAS 2024'!$A$9:$A$874,"30/08/2025",'AT. MEDICAS 2024'!$I$9:$I$874,B194)</f>
        <v>0</v>
      </c>
      <c r="AG194" s="30">
        <f>COUNTIFS('AT. MEDICAS 2024'!$A$9:$A$874,"31/08/2025",'AT. MEDICAS 2024'!$I$9:$I$874,B194)</f>
        <v>0</v>
      </c>
      <c r="AH194" s="55">
        <f t="shared" si="25"/>
        <v>0</v>
      </c>
    </row>
    <row r="195" spans="1:34" ht="13.8" thickBot="1" x14ac:dyDescent="0.3">
      <c r="A195" s="41">
        <v>10</v>
      </c>
      <c r="B195" s="54" t="s">
        <v>97</v>
      </c>
      <c r="C195" s="30">
        <f>COUNTIFS('AT. MEDICAS 2024'!$A$9:$A$874,"01/08/2025",'AT. MEDICAS 2024'!$I$9:$I$874,B195)</f>
        <v>0</v>
      </c>
      <c r="D195" s="30">
        <f>COUNTIFS('AT. MEDICAS 2024'!$A$9:$A$874,"02/08/2025",'AT. MEDICAS 2024'!$I$9:$I$874,B195)</f>
        <v>0</v>
      </c>
      <c r="E195" s="30">
        <f>COUNTIFS('AT. MEDICAS 2024'!$A$9:$A$874,"03/08/2025",'AT. MEDICAS 2024'!$I$9:$I$874,B195)</f>
        <v>0</v>
      </c>
      <c r="F195" s="30">
        <f>COUNTIFS('AT. MEDICAS 2024'!$A$9:$A$874,"04/08/2025",'AT. MEDICAS 2024'!$I$9:$I$874,B195)</f>
        <v>0</v>
      </c>
      <c r="G195" s="30">
        <f>COUNTIFS('AT. MEDICAS 2024'!$A$9:$A$874,"05/08/2025",'AT. MEDICAS 2024'!$I$9:$I$874,B195)</f>
        <v>0</v>
      </c>
      <c r="H195" s="30">
        <f>COUNTIFS('AT. MEDICAS 2024'!$A$9:$A$874,"06/08/2025",'AT. MEDICAS 2024'!$I$9:$I$874,B195)</f>
        <v>0</v>
      </c>
      <c r="I195" s="30">
        <f>COUNTIFS('AT. MEDICAS 2024'!$A$9:$A$874,"07/08/2025",'AT. MEDICAS 2024'!$I$9:$I$874,B195)</f>
        <v>0</v>
      </c>
      <c r="J195" s="30">
        <f>COUNTIFS('AT. MEDICAS 2024'!$A$9:$A$874,"08/08/2025",'AT. MEDICAS 2024'!$I$9:$I$874,B195)</f>
        <v>0</v>
      </c>
      <c r="K195" s="30">
        <f>COUNTIFS('AT. MEDICAS 2024'!$A$9:$A$874,"09/08/2025",'AT. MEDICAS 2024'!$I$9:$I$874,B195)</f>
        <v>0</v>
      </c>
      <c r="L195" s="30">
        <f>COUNTIFS('AT. MEDICAS 2024'!$A$9:$A$874,"10/08/2025",'AT. MEDICAS 2024'!$I$9:$I$874,B195)</f>
        <v>0</v>
      </c>
      <c r="M195" s="30">
        <f>COUNTIFS('AT. MEDICAS 2024'!$A$9:$A$874,"11/08/2025",'AT. MEDICAS 2024'!$I$9:$I$874,B195)</f>
        <v>0</v>
      </c>
      <c r="N195" s="30">
        <f>COUNTIFS('AT. MEDICAS 2024'!$A$9:$A$874,"12/08/2025",'AT. MEDICAS 2024'!$I$9:$I$874,B195)</f>
        <v>0</v>
      </c>
      <c r="O195" s="30">
        <f>COUNTIFS('AT. MEDICAS 2024'!$A$9:$A$874,"13/08/2025",'AT. MEDICAS 2024'!$I$9:$I$874,B195)</f>
        <v>0</v>
      </c>
      <c r="P195" s="30">
        <f>COUNTIFS('AT. MEDICAS 2024'!$A$9:$A$874,"14/08/2025",'AT. MEDICAS 2024'!$I$9:$I$874,B195)</f>
        <v>0</v>
      </c>
      <c r="Q195" s="30">
        <f>COUNTIFS('AT. MEDICAS 2024'!$A$9:$A$874,"15/08/2025",'AT. MEDICAS 2024'!$I$9:$I$874,B195)</f>
        <v>0</v>
      </c>
      <c r="R195" s="30">
        <f>COUNTIFS('AT. MEDICAS 2024'!$A$9:$A$874,"16/08/2025",'AT. MEDICAS 2024'!$I$9:$I$874,B195)</f>
        <v>0</v>
      </c>
      <c r="S195" s="30">
        <f>COUNTIFS('AT. MEDICAS 2024'!$A$9:$A$874,"17/08/2025",'AT. MEDICAS 2024'!$I$9:$I$874,B195)</f>
        <v>0</v>
      </c>
      <c r="T195" s="30">
        <f>COUNTIFS('AT. MEDICAS 2024'!$A$9:$A$874,"18/08/2025",'AT. MEDICAS 2024'!$I$9:$I$874,B195)</f>
        <v>0</v>
      </c>
      <c r="U195" s="30">
        <f>COUNTIFS('AT. MEDICAS 2024'!$A$9:$A$874,"19/08/2025",'AT. MEDICAS 2024'!$I$9:$I$874,B195)</f>
        <v>0</v>
      </c>
      <c r="V195" s="30">
        <f>COUNTIFS('AT. MEDICAS 2024'!$A$9:$A$874,"20/08/2025",'AT. MEDICAS 2024'!$I$9:$I$874,B195)</f>
        <v>0</v>
      </c>
      <c r="W195" s="30">
        <f>COUNTIFS('AT. MEDICAS 2024'!$A$9:$A$874,"21/08/2025",'AT. MEDICAS 2024'!$I$9:$I$874,B195)</f>
        <v>0</v>
      </c>
      <c r="X195" s="30">
        <f>COUNTIFS('AT. MEDICAS 2024'!$A$9:$A$874,"22/08/2025",'AT. MEDICAS 2024'!$I$9:$I$874,B195)</f>
        <v>0</v>
      </c>
      <c r="Y195" s="30">
        <f>COUNTIFS('AT. MEDICAS 2024'!$A$9:$A$874,"23/08/2025",'AT. MEDICAS 2024'!$I$9:$I$874,B195)</f>
        <v>0</v>
      </c>
      <c r="Z195" s="30">
        <f>COUNTIFS('AT. MEDICAS 2024'!$A$9:$A$874,"24/08/2025",'AT. MEDICAS 2024'!$I$9:$I$874,B195)</f>
        <v>0</v>
      </c>
      <c r="AA195" s="30">
        <f>COUNTIFS('AT. MEDICAS 2024'!$A$9:$A$874,"25/08/2025",'AT. MEDICAS 2024'!$I$9:$I$874,B195)</f>
        <v>0</v>
      </c>
      <c r="AB195" s="30">
        <f>COUNTIFS('AT. MEDICAS 2024'!$A$9:$A$874,"26/08/2025",'AT. MEDICAS 2024'!$I$9:$I$874,B195)</f>
        <v>0</v>
      </c>
      <c r="AC195" s="30">
        <f>COUNTIFS('AT. MEDICAS 2024'!$A$9:$A$874,"27/08/2025",'AT. MEDICAS 2024'!$I$9:$I$874,B195)</f>
        <v>0</v>
      </c>
      <c r="AD195" s="30">
        <f>COUNTIFS('AT. MEDICAS 2024'!$A$9:$A$874,"28/08/2025",'AT. MEDICAS 2024'!$I$9:$I$874,B195)</f>
        <v>0</v>
      </c>
      <c r="AE195" s="30">
        <f>COUNTIFS('AT. MEDICAS 2024'!$A$9:$A$874,"29/08/2025",'AT. MEDICAS 2024'!$I$9:$I$874,B195)</f>
        <v>0</v>
      </c>
      <c r="AF195" s="30">
        <f>COUNTIFS('AT. MEDICAS 2024'!$A$9:$A$874,"30/08/2025",'AT. MEDICAS 2024'!$I$9:$I$874,B195)</f>
        <v>0</v>
      </c>
      <c r="AG195" s="30">
        <f>COUNTIFS('AT. MEDICAS 2024'!$A$9:$A$874,"31/08/2025",'AT. MEDICAS 2024'!$I$9:$I$874,B195)</f>
        <v>0</v>
      </c>
      <c r="AH195" s="55">
        <f t="shared" si="25"/>
        <v>0</v>
      </c>
    </row>
    <row r="196" spans="1:34" ht="13.8" thickBot="1" x14ac:dyDescent="0.3">
      <c r="A196" s="41">
        <v>11</v>
      </c>
      <c r="B196" s="54" t="s">
        <v>21</v>
      </c>
      <c r="C196" s="30">
        <f>COUNTIFS('AT. MEDICAS 2024'!$A$9:$A$874,"01/08/2025",'AT. MEDICAS 2024'!$I$9:$I$874,B196)</f>
        <v>0</v>
      </c>
      <c r="D196" s="30">
        <f>COUNTIFS('AT. MEDICAS 2024'!$A$9:$A$874,"02/08/2025",'AT. MEDICAS 2024'!$I$9:$I$874,B196)</f>
        <v>0</v>
      </c>
      <c r="E196" s="30">
        <f>COUNTIFS('AT. MEDICAS 2024'!$A$9:$A$874,"03/08/2025",'AT. MEDICAS 2024'!$I$9:$I$874,B196)</f>
        <v>0</v>
      </c>
      <c r="F196" s="30">
        <f>COUNTIFS('AT. MEDICAS 2024'!$A$9:$A$874,"04/08/2025",'AT. MEDICAS 2024'!$I$9:$I$874,B196)</f>
        <v>0</v>
      </c>
      <c r="G196" s="30">
        <f>COUNTIFS('AT. MEDICAS 2024'!$A$9:$A$874,"05/08/2025",'AT. MEDICAS 2024'!$I$9:$I$874,B196)</f>
        <v>0</v>
      </c>
      <c r="H196" s="30">
        <f>COUNTIFS('AT. MEDICAS 2024'!$A$9:$A$874,"06/08/2025",'AT. MEDICAS 2024'!$I$9:$I$874,B196)</f>
        <v>0</v>
      </c>
      <c r="I196" s="30">
        <f>COUNTIFS('AT. MEDICAS 2024'!$A$9:$A$874,"07/08/2025",'AT. MEDICAS 2024'!$I$9:$I$874,B196)</f>
        <v>0</v>
      </c>
      <c r="J196" s="30">
        <f>COUNTIFS('AT. MEDICAS 2024'!$A$9:$A$874,"08/08/2025",'AT. MEDICAS 2024'!$I$9:$I$874,B196)</f>
        <v>0</v>
      </c>
      <c r="K196" s="30">
        <f>COUNTIFS('AT. MEDICAS 2024'!$A$9:$A$874,"09/08/2025",'AT. MEDICAS 2024'!$I$9:$I$874,B196)</f>
        <v>0</v>
      </c>
      <c r="L196" s="30">
        <f>COUNTIFS('AT. MEDICAS 2024'!$A$9:$A$874,"10/08/2025",'AT. MEDICAS 2024'!$I$9:$I$874,B196)</f>
        <v>0</v>
      </c>
      <c r="M196" s="30">
        <f>COUNTIFS('AT. MEDICAS 2024'!$A$9:$A$874,"11/08/2025",'AT. MEDICAS 2024'!$I$9:$I$874,B196)</f>
        <v>0</v>
      </c>
      <c r="N196" s="30">
        <f>COUNTIFS('AT. MEDICAS 2024'!$A$9:$A$874,"12/08/2025",'AT. MEDICAS 2024'!$I$9:$I$874,B196)</f>
        <v>0</v>
      </c>
      <c r="O196" s="30">
        <f>COUNTIFS('AT. MEDICAS 2024'!$A$9:$A$874,"13/08/2025",'AT. MEDICAS 2024'!$I$9:$I$874,B196)</f>
        <v>0</v>
      </c>
      <c r="P196" s="30">
        <f>COUNTIFS('AT. MEDICAS 2024'!$A$9:$A$874,"14/08/2025",'AT. MEDICAS 2024'!$I$9:$I$874,B196)</f>
        <v>0</v>
      </c>
      <c r="Q196" s="30">
        <f>COUNTIFS('AT. MEDICAS 2024'!$A$9:$A$874,"15/08/2025",'AT. MEDICAS 2024'!$I$9:$I$874,B196)</f>
        <v>0</v>
      </c>
      <c r="R196" s="30">
        <f>COUNTIFS('AT. MEDICAS 2024'!$A$9:$A$874,"16/08/2025",'AT. MEDICAS 2024'!$I$9:$I$874,B196)</f>
        <v>0</v>
      </c>
      <c r="S196" s="30">
        <f>COUNTIFS('AT. MEDICAS 2024'!$A$9:$A$874,"17/08/2025",'AT. MEDICAS 2024'!$I$9:$I$874,B196)</f>
        <v>0</v>
      </c>
      <c r="T196" s="30">
        <f>COUNTIFS('AT. MEDICAS 2024'!$A$9:$A$874,"18/08/2025",'AT. MEDICAS 2024'!$I$9:$I$874,B196)</f>
        <v>0</v>
      </c>
      <c r="U196" s="30">
        <f>COUNTIFS('AT. MEDICAS 2024'!$A$9:$A$874,"19/08/2025",'AT. MEDICAS 2024'!$I$9:$I$874,B196)</f>
        <v>0</v>
      </c>
      <c r="V196" s="30">
        <f>COUNTIFS('AT. MEDICAS 2024'!$A$9:$A$874,"20/08/2025",'AT. MEDICAS 2024'!$I$9:$I$874,B196)</f>
        <v>0</v>
      </c>
      <c r="W196" s="30">
        <f>COUNTIFS('AT. MEDICAS 2024'!$A$9:$A$874,"21/08/2025",'AT. MEDICAS 2024'!$I$9:$I$874,B196)</f>
        <v>0</v>
      </c>
      <c r="X196" s="30">
        <f>COUNTIFS('AT. MEDICAS 2024'!$A$9:$A$874,"22/08/2025",'AT. MEDICAS 2024'!$I$9:$I$874,B196)</f>
        <v>0</v>
      </c>
      <c r="Y196" s="30">
        <f>COUNTIFS('AT. MEDICAS 2024'!$A$9:$A$874,"23/08/2025",'AT. MEDICAS 2024'!$I$9:$I$874,B196)</f>
        <v>0</v>
      </c>
      <c r="Z196" s="30">
        <f>COUNTIFS('AT. MEDICAS 2024'!$A$9:$A$874,"24/08/2025",'AT. MEDICAS 2024'!$I$9:$I$874,B196)</f>
        <v>0</v>
      </c>
      <c r="AA196" s="30">
        <f>COUNTIFS('AT. MEDICAS 2024'!$A$9:$A$874,"25/08/2025",'AT. MEDICAS 2024'!$I$9:$I$874,B196)</f>
        <v>0</v>
      </c>
      <c r="AB196" s="30">
        <f>COUNTIFS('AT. MEDICAS 2024'!$A$9:$A$874,"26/08/2025",'AT. MEDICAS 2024'!$I$9:$I$874,B196)</f>
        <v>0</v>
      </c>
      <c r="AC196" s="30">
        <f>COUNTIFS('AT. MEDICAS 2024'!$A$9:$A$874,"27/08/2025",'AT. MEDICAS 2024'!$I$9:$I$874,B196)</f>
        <v>0</v>
      </c>
      <c r="AD196" s="30">
        <f>COUNTIFS('AT. MEDICAS 2024'!$A$9:$A$874,"28/08/2025",'AT. MEDICAS 2024'!$I$9:$I$874,B196)</f>
        <v>0</v>
      </c>
      <c r="AE196" s="30">
        <f>COUNTIFS('AT. MEDICAS 2024'!$A$9:$A$874,"29/08/2025",'AT. MEDICAS 2024'!$I$9:$I$874,B196)</f>
        <v>0</v>
      </c>
      <c r="AF196" s="30">
        <f>COUNTIFS('AT. MEDICAS 2024'!$A$9:$A$874,"30/08/2025",'AT. MEDICAS 2024'!$I$9:$I$874,B196)</f>
        <v>0</v>
      </c>
      <c r="AG196" s="30">
        <f>COUNTIFS('AT. MEDICAS 2024'!$A$9:$A$874,"31/08/2025",'AT. MEDICAS 2024'!$I$9:$I$874,B196)</f>
        <v>0</v>
      </c>
      <c r="AH196" s="55">
        <f t="shared" si="25"/>
        <v>0</v>
      </c>
    </row>
    <row r="197" spans="1:34" ht="13.8" thickBot="1" x14ac:dyDescent="0.3">
      <c r="A197" s="41">
        <v>12</v>
      </c>
      <c r="B197" s="54" t="s">
        <v>23</v>
      </c>
      <c r="C197" s="30">
        <f>COUNTIFS('AT. MEDICAS 2024'!$A$9:$A$874,"01/08/2025",'AT. MEDICAS 2024'!$I$9:$I$874,B197)</f>
        <v>0</v>
      </c>
      <c r="D197" s="30">
        <f>COUNTIFS('AT. MEDICAS 2024'!$A$9:$A$874,"02/08/2025",'AT. MEDICAS 2024'!$I$9:$I$874,B197)</f>
        <v>0</v>
      </c>
      <c r="E197" s="30">
        <f>COUNTIFS('AT. MEDICAS 2024'!$A$9:$A$874,"03/08/2025",'AT. MEDICAS 2024'!$I$9:$I$874,B197)</f>
        <v>0</v>
      </c>
      <c r="F197" s="30">
        <f>COUNTIFS('AT. MEDICAS 2024'!$A$9:$A$874,"04/08/2025",'AT. MEDICAS 2024'!$I$9:$I$874,B197)</f>
        <v>0</v>
      </c>
      <c r="G197" s="30">
        <f>COUNTIFS('AT. MEDICAS 2024'!$A$9:$A$874,"05/08/2025",'AT. MEDICAS 2024'!$I$9:$I$874,B197)</f>
        <v>0</v>
      </c>
      <c r="H197" s="30">
        <f>COUNTIFS('AT. MEDICAS 2024'!$A$9:$A$874,"06/08/2025",'AT. MEDICAS 2024'!$I$9:$I$874,B197)</f>
        <v>0</v>
      </c>
      <c r="I197" s="30">
        <f>COUNTIFS('AT. MEDICAS 2024'!$A$9:$A$874,"07/08/2025",'AT. MEDICAS 2024'!$I$9:$I$874,B197)</f>
        <v>0</v>
      </c>
      <c r="J197" s="30">
        <f>COUNTIFS('AT. MEDICAS 2024'!$A$9:$A$874,"08/08/2025",'AT. MEDICAS 2024'!$I$9:$I$874,B197)</f>
        <v>0</v>
      </c>
      <c r="K197" s="30">
        <f>COUNTIFS('AT. MEDICAS 2024'!$A$9:$A$874,"09/08/2025",'AT. MEDICAS 2024'!$I$9:$I$874,B197)</f>
        <v>0</v>
      </c>
      <c r="L197" s="30">
        <f>COUNTIFS('AT. MEDICAS 2024'!$A$9:$A$874,"10/08/2025",'AT. MEDICAS 2024'!$I$9:$I$874,B197)</f>
        <v>0</v>
      </c>
      <c r="M197" s="30">
        <f>COUNTIFS('AT. MEDICAS 2024'!$A$9:$A$874,"11/08/2025",'AT. MEDICAS 2024'!$I$9:$I$874,B197)</f>
        <v>0</v>
      </c>
      <c r="N197" s="30">
        <f>COUNTIFS('AT. MEDICAS 2024'!$A$9:$A$874,"12/08/2025",'AT. MEDICAS 2024'!$I$9:$I$874,B197)</f>
        <v>0</v>
      </c>
      <c r="O197" s="30">
        <f>COUNTIFS('AT. MEDICAS 2024'!$A$9:$A$874,"13/08/2025",'AT. MEDICAS 2024'!$I$9:$I$874,B197)</f>
        <v>0</v>
      </c>
      <c r="P197" s="30">
        <f>COUNTIFS('AT. MEDICAS 2024'!$A$9:$A$874,"14/08/2025",'AT. MEDICAS 2024'!$I$9:$I$874,B197)</f>
        <v>0</v>
      </c>
      <c r="Q197" s="30">
        <f>COUNTIFS('AT. MEDICAS 2024'!$A$9:$A$874,"15/08/2025",'AT. MEDICAS 2024'!$I$9:$I$874,B197)</f>
        <v>0</v>
      </c>
      <c r="R197" s="30">
        <f>COUNTIFS('AT. MEDICAS 2024'!$A$9:$A$874,"16/08/2025",'AT. MEDICAS 2024'!$I$9:$I$874,B197)</f>
        <v>0</v>
      </c>
      <c r="S197" s="30">
        <f>COUNTIFS('AT. MEDICAS 2024'!$A$9:$A$874,"17/08/2025",'AT. MEDICAS 2024'!$I$9:$I$874,B197)</f>
        <v>0</v>
      </c>
      <c r="T197" s="30">
        <f>COUNTIFS('AT. MEDICAS 2024'!$A$9:$A$874,"18/08/2025",'AT. MEDICAS 2024'!$I$9:$I$874,B197)</f>
        <v>0</v>
      </c>
      <c r="U197" s="30">
        <f>COUNTIFS('AT. MEDICAS 2024'!$A$9:$A$874,"19/08/2025",'AT. MEDICAS 2024'!$I$9:$I$874,B197)</f>
        <v>0</v>
      </c>
      <c r="V197" s="30">
        <f>COUNTIFS('AT. MEDICAS 2024'!$A$9:$A$874,"20/08/2025",'AT. MEDICAS 2024'!$I$9:$I$874,B197)</f>
        <v>0</v>
      </c>
      <c r="W197" s="30">
        <f>COUNTIFS('AT. MEDICAS 2024'!$A$9:$A$874,"21/08/2025",'AT. MEDICAS 2024'!$I$9:$I$874,B197)</f>
        <v>0</v>
      </c>
      <c r="X197" s="30">
        <f>COUNTIFS('AT. MEDICAS 2024'!$A$9:$A$874,"22/08/2025",'AT. MEDICAS 2024'!$I$9:$I$874,B197)</f>
        <v>0</v>
      </c>
      <c r="Y197" s="30">
        <f>COUNTIFS('AT. MEDICAS 2024'!$A$9:$A$874,"23/08/2025",'AT. MEDICAS 2024'!$I$9:$I$874,B197)</f>
        <v>0</v>
      </c>
      <c r="Z197" s="30">
        <f>COUNTIFS('AT. MEDICAS 2024'!$A$9:$A$874,"24/08/2025",'AT. MEDICAS 2024'!$I$9:$I$874,B197)</f>
        <v>0</v>
      </c>
      <c r="AA197" s="30">
        <f>COUNTIFS('AT. MEDICAS 2024'!$A$9:$A$874,"25/08/2025",'AT. MEDICAS 2024'!$I$9:$I$874,B197)</f>
        <v>0</v>
      </c>
      <c r="AB197" s="30">
        <f>COUNTIFS('AT. MEDICAS 2024'!$A$9:$A$874,"26/08/2025",'AT. MEDICAS 2024'!$I$9:$I$874,B197)</f>
        <v>0</v>
      </c>
      <c r="AC197" s="30">
        <f>COUNTIFS('AT. MEDICAS 2024'!$A$9:$A$874,"27/08/2025",'AT. MEDICAS 2024'!$I$9:$I$874,B197)</f>
        <v>0</v>
      </c>
      <c r="AD197" s="30">
        <f>COUNTIFS('AT. MEDICAS 2024'!$A$9:$A$874,"28/08/2025",'AT. MEDICAS 2024'!$I$9:$I$874,B197)</f>
        <v>0</v>
      </c>
      <c r="AE197" s="30">
        <f>COUNTIFS('AT. MEDICAS 2024'!$A$9:$A$874,"29/08/2025",'AT. MEDICAS 2024'!$I$9:$I$874,B197)</f>
        <v>0</v>
      </c>
      <c r="AF197" s="30">
        <f>COUNTIFS('AT. MEDICAS 2024'!$A$9:$A$874,"30/08/2025",'AT. MEDICAS 2024'!$I$9:$I$874,B197)</f>
        <v>0</v>
      </c>
      <c r="AG197" s="30">
        <f>COUNTIFS('AT. MEDICAS 2024'!$A$9:$A$874,"31/08/2025",'AT. MEDICAS 2024'!$I$9:$I$874,B197)</f>
        <v>0</v>
      </c>
      <c r="AH197" s="55">
        <f t="shared" si="25"/>
        <v>0</v>
      </c>
    </row>
    <row r="198" spans="1:34" ht="13.8" thickBot="1" x14ac:dyDescent="0.3">
      <c r="A198" s="41">
        <v>13</v>
      </c>
      <c r="B198" s="54" t="s">
        <v>57</v>
      </c>
      <c r="C198" s="30">
        <f>COUNTIFS('AT. MEDICAS 2024'!$A$9:$A$874,"01/08/2025",'AT. MEDICAS 2024'!$I$9:$I$874,B198)</f>
        <v>0</v>
      </c>
      <c r="D198" s="30">
        <f>COUNTIFS('AT. MEDICAS 2024'!$A$9:$A$874,"02/08/2025",'AT. MEDICAS 2024'!$I$9:$I$874,B198)</f>
        <v>0</v>
      </c>
      <c r="E198" s="30">
        <f>COUNTIFS('AT. MEDICAS 2024'!$A$9:$A$874,"03/08/2025",'AT. MEDICAS 2024'!$I$9:$I$874,B198)</f>
        <v>0</v>
      </c>
      <c r="F198" s="30">
        <f>COUNTIFS('AT. MEDICAS 2024'!$A$9:$A$874,"04/08/2025",'AT. MEDICAS 2024'!$I$9:$I$874,B198)</f>
        <v>0</v>
      </c>
      <c r="G198" s="30">
        <f>COUNTIFS('AT. MEDICAS 2024'!$A$9:$A$874,"05/08/2025",'AT. MEDICAS 2024'!$I$9:$I$874,B198)</f>
        <v>0</v>
      </c>
      <c r="H198" s="30">
        <f>COUNTIFS('AT. MEDICAS 2024'!$A$9:$A$874,"06/08/2025",'AT. MEDICAS 2024'!$I$9:$I$874,B198)</f>
        <v>0</v>
      </c>
      <c r="I198" s="30">
        <f>COUNTIFS('AT. MEDICAS 2024'!$A$9:$A$874,"07/08/2025",'AT. MEDICAS 2024'!$I$9:$I$874,B198)</f>
        <v>0</v>
      </c>
      <c r="J198" s="30">
        <f>COUNTIFS('AT. MEDICAS 2024'!$A$9:$A$874,"08/08/2025",'AT. MEDICAS 2024'!$I$9:$I$874,B198)</f>
        <v>0</v>
      </c>
      <c r="K198" s="30">
        <f>COUNTIFS('AT. MEDICAS 2024'!$A$9:$A$874,"09/08/2025",'AT. MEDICAS 2024'!$I$9:$I$874,B198)</f>
        <v>0</v>
      </c>
      <c r="L198" s="30">
        <f>COUNTIFS('AT. MEDICAS 2024'!$A$9:$A$874,"10/08/2025",'AT. MEDICAS 2024'!$I$9:$I$874,B198)</f>
        <v>0</v>
      </c>
      <c r="M198" s="30">
        <f>COUNTIFS('AT. MEDICAS 2024'!$A$9:$A$874,"11/08/2025",'AT. MEDICAS 2024'!$I$9:$I$874,B198)</f>
        <v>0</v>
      </c>
      <c r="N198" s="30">
        <f>COUNTIFS('AT. MEDICAS 2024'!$A$9:$A$874,"12/08/2025",'AT. MEDICAS 2024'!$I$9:$I$874,B198)</f>
        <v>0</v>
      </c>
      <c r="O198" s="30">
        <f>COUNTIFS('AT. MEDICAS 2024'!$A$9:$A$874,"13/08/2025",'AT. MEDICAS 2024'!$I$9:$I$874,B198)</f>
        <v>0</v>
      </c>
      <c r="P198" s="30">
        <f>COUNTIFS('AT. MEDICAS 2024'!$A$9:$A$874,"14/08/2025",'AT. MEDICAS 2024'!$I$9:$I$874,B198)</f>
        <v>0</v>
      </c>
      <c r="Q198" s="30">
        <f>COUNTIFS('AT. MEDICAS 2024'!$A$9:$A$874,"15/08/2025",'AT. MEDICAS 2024'!$I$9:$I$874,B198)</f>
        <v>0</v>
      </c>
      <c r="R198" s="30">
        <f>COUNTIFS('AT. MEDICAS 2024'!$A$9:$A$874,"16/08/2025",'AT. MEDICAS 2024'!$I$9:$I$874,B198)</f>
        <v>0</v>
      </c>
      <c r="S198" s="30">
        <f>COUNTIFS('AT. MEDICAS 2024'!$A$9:$A$874,"17/08/2025",'AT. MEDICAS 2024'!$I$9:$I$874,B198)</f>
        <v>0</v>
      </c>
      <c r="T198" s="30">
        <f>COUNTIFS('AT. MEDICAS 2024'!$A$9:$A$874,"18/08/2025",'AT. MEDICAS 2024'!$I$9:$I$874,B198)</f>
        <v>0</v>
      </c>
      <c r="U198" s="30">
        <f>COUNTIFS('AT. MEDICAS 2024'!$A$9:$A$874,"19/08/2025",'AT. MEDICAS 2024'!$I$9:$I$874,B198)</f>
        <v>0</v>
      </c>
      <c r="V198" s="30">
        <f>COUNTIFS('AT. MEDICAS 2024'!$A$9:$A$874,"20/08/2025",'AT. MEDICAS 2024'!$I$9:$I$874,B198)</f>
        <v>0</v>
      </c>
      <c r="W198" s="30">
        <f>COUNTIFS('AT. MEDICAS 2024'!$A$9:$A$874,"21/08/2025",'AT. MEDICAS 2024'!$I$9:$I$874,B198)</f>
        <v>0</v>
      </c>
      <c r="X198" s="30">
        <f>COUNTIFS('AT. MEDICAS 2024'!$A$9:$A$874,"22/08/2025",'AT. MEDICAS 2024'!$I$9:$I$874,B198)</f>
        <v>0</v>
      </c>
      <c r="Y198" s="30">
        <f>COUNTIFS('AT. MEDICAS 2024'!$A$9:$A$874,"23/08/2025",'AT. MEDICAS 2024'!$I$9:$I$874,B198)</f>
        <v>0</v>
      </c>
      <c r="Z198" s="30">
        <f>COUNTIFS('AT. MEDICAS 2024'!$A$9:$A$874,"24/08/2025",'AT. MEDICAS 2024'!$I$9:$I$874,B198)</f>
        <v>0</v>
      </c>
      <c r="AA198" s="30">
        <f>COUNTIFS('AT. MEDICAS 2024'!$A$9:$A$874,"25/08/2025",'AT. MEDICAS 2024'!$I$9:$I$874,B198)</f>
        <v>0</v>
      </c>
      <c r="AB198" s="30">
        <f>COUNTIFS('AT. MEDICAS 2024'!$A$9:$A$874,"26/08/2025",'AT. MEDICAS 2024'!$I$9:$I$874,B198)</f>
        <v>0</v>
      </c>
      <c r="AC198" s="30">
        <f>COUNTIFS('AT. MEDICAS 2024'!$A$9:$A$874,"27/08/2025",'AT. MEDICAS 2024'!$I$9:$I$874,B198)</f>
        <v>0</v>
      </c>
      <c r="AD198" s="30">
        <f>COUNTIFS('AT. MEDICAS 2024'!$A$9:$A$874,"28/08/2025",'AT. MEDICAS 2024'!$I$9:$I$874,B198)</f>
        <v>0</v>
      </c>
      <c r="AE198" s="30">
        <f>COUNTIFS('AT. MEDICAS 2024'!$A$9:$A$874,"29/08/2025",'AT. MEDICAS 2024'!$I$9:$I$874,B198)</f>
        <v>0</v>
      </c>
      <c r="AF198" s="30">
        <f>COUNTIFS('AT. MEDICAS 2024'!$A$9:$A$874,"30/08/2025",'AT. MEDICAS 2024'!$I$9:$I$874,B198)</f>
        <v>0</v>
      </c>
      <c r="AG198" s="30">
        <f>COUNTIFS('AT. MEDICAS 2024'!$A$9:$A$874,"31/08/2025",'AT. MEDICAS 2024'!$I$9:$I$874,B198)</f>
        <v>0</v>
      </c>
      <c r="AH198" s="55">
        <f t="shared" si="25"/>
        <v>0</v>
      </c>
    </row>
    <row r="199" spans="1:34" ht="13.8" thickBot="1" x14ac:dyDescent="0.3">
      <c r="A199" s="41">
        <v>14</v>
      </c>
      <c r="B199" s="54" t="s">
        <v>66</v>
      </c>
      <c r="C199" s="30">
        <f>COUNTIFS('AT. MEDICAS 2024'!$A$9:$A$874,"01/08/2025",'AT. MEDICAS 2024'!$I$9:$I$874,B199)</f>
        <v>0</v>
      </c>
      <c r="D199" s="30">
        <f>COUNTIFS('AT. MEDICAS 2024'!$A$9:$A$874,"02/08/2025",'AT. MEDICAS 2024'!$I$9:$I$874,B199)</f>
        <v>0</v>
      </c>
      <c r="E199" s="30">
        <f>COUNTIFS('AT. MEDICAS 2024'!$A$9:$A$874,"03/08/2025",'AT. MEDICAS 2024'!$I$9:$I$874,B199)</f>
        <v>0</v>
      </c>
      <c r="F199" s="30">
        <f>COUNTIFS('AT. MEDICAS 2024'!$A$9:$A$874,"04/08/2025",'AT. MEDICAS 2024'!$I$9:$I$874,B199)</f>
        <v>0</v>
      </c>
      <c r="G199" s="30">
        <f>COUNTIFS('AT. MEDICAS 2024'!$A$9:$A$874,"05/08/2025",'AT. MEDICAS 2024'!$I$9:$I$874,B199)</f>
        <v>0</v>
      </c>
      <c r="H199" s="30">
        <f>COUNTIFS('AT. MEDICAS 2024'!$A$9:$A$874,"06/08/2025",'AT. MEDICAS 2024'!$I$9:$I$874,B199)</f>
        <v>0</v>
      </c>
      <c r="I199" s="30">
        <f>COUNTIFS('AT. MEDICAS 2024'!$A$9:$A$874,"07/08/2025",'AT. MEDICAS 2024'!$I$9:$I$874,B199)</f>
        <v>0</v>
      </c>
      <c r="J199" s="30">
        <f>COUNTIFS('AT. MEDICAS 2024'!$A$9:$A$874,"08/08/2025",'AT. MEDICAS 2024'!$I$9:$I$874,B199)</f>
        <v>0</v>
      </c>
      <c r="K199" s="30">
        <f>COUNTIFS('AT. MEDICAS 2024'!$A$9:$A$874,"09/08/2025",'AT. MEDICAS 2024'!$I$9:$I$874,B199)</f>
        <v>0</v>
      </c>
      <c r="L199" s="30">
        <f>COUNTIFS('AT. MEDICAS 2024'!$A$9:$A$874,"10/08/2025",'AT. MEDICAS 2024'!$I$9:$I$874,B199)</f>
        <v>0</v>
      </c>
      <c r="M199" s="30">
        <f>COUNTIFS('AT. MEDICAS 2024'!$A$9:$A$874,"11/08/2025",'AT. MEDICAS 2024'!$I$9:$I$874,B199)</f>
        <v>0</v>
      </c>
      <c r="N199" s="30">
        <f>COUNTIFS('AT. MEDICAS 2024'!$A$9:$A$874,"12/08/2025",'AT. MEDICAS 2024'!$I$9:$I$874,B199)</f>
        <v>0</v>
      </c>
      <c r="O199" s="30">
        <f>COUNTIFS('AT. MEDICAS 2024'!$A$9:$A$874,"13/08/2025",'AT. MEDICAS 2024'!$I$9:$I$874,B199)</f>
        <v>0</v>
      </c>
      <c r="P199" s="30">
        <f>COUNTIFS('AT. MEDICAS 2024'!$A$9:$A$874,"14/08/2025",'AT. MEDICAS 2024'!$I$9:$I$874,B199)</f>
        <v>0</v>
      </c>
      <c r="Q199" s="30">
        <f>COUNTIFS('AT. MEDICAS 2024'!$A$9:$A$874,"15/08/2025",'AT. MEDICAS 2024'!$I$9:$I$874,B199)</f>
        <v>0</v>
      </c>
      <c r="R199" s="30">
        <f>COUNTIFS('AT. MEDICAS 2024'!$A$9:$A$874,"16/08/2025",'AT. MEDICAS 2024'!$I$9:$I$874,B199)</f>
        <v>0</v>
      </c>
      <c r="S199" s="30">
        <f>COUNTIFS('AT. MEDICAS 2024'!$A$9:$A$874,"17/08/2025",'AT. MEDICAS 2024'!$I$9:$I$874,B199)</f>
        <v>0</v>
      </c>
      <c r="T199" s="30">
        <f>COUNTIFS('AT. MEDICAS 2024'!$A$9:$A$874,"18/08/2025",'AT. MEDICAS 2024'!$I$9:$I$874,B199)</f>
        <v>0</v>
      </c>
      <c r="U199" s="30">
        <f>COUNTIFS('AT. MEDICAS 2024'!$A$9:$A$874,"19/08/2025",'AT. MEDICAS 2024'!$I$9:$I$874,B199)</f>
        <v>0</v>
      </c>
      <c r="V199" s="30">
        <f>COUNTIFS('AT. MEDICAS 2024'!$A$9:$A$874,"20/08/2025",'AT. MEDICAS 2024'!$I$9:$I$874,B199)</f>
        <v>0</v>
      </c>
      <c r="W199" s="30">
        <f>COUNTIFS('AT. MEDICAS 2024'!$A$9:$A$874,"21/08/2025",'AT. MEDICAS 2024'!$I$9:$I$874,B199)</f>
        <v>0</v>
      </c>
      <c r="X199" s="30">
        <f>COUNTIFS('AT. MEDICAS 2024'!$A$9:$A$874,"22/08/2025",'AT. MEDICAS 2024'!$I$9:$I$874,B199)</f>
        <v>0</v>
      </c>
      <c r="Y199" s="30">
        <f>COUNTIFS('AT. MEDICAS 2024'!$A$9:$A$874,"23/08/2025",'AT. MEDICAS 2024'!$I$9:$I$874,B199)</f>
        <v>0</v>
      </c>
      <c r="Z199" s="30">
        <f>COUNTIFS('AT. MEDICAS 2024'!$A$9:$A$874,"24/08/2025",'AT. MEDICAS 2024'!$I$9:$I$874,B199)</f>
        <v>0</v>
      </c>
      <c r="AA199" s="30">
        <f>COUNTIFS('AT. MEDICAS 2024'!$A$9:$A$874,"25/08/2025",'AT. MEDICAS 2024'!$I$9:$I$874,B199)</f>
        <v>0</v>
      </c>
      <c r="AB199" s="30">
        <f>COUNTIFS('AT. MEDICAS 2024'!$A$9:$A$874,"26/08/2025",'AT. MEDICAS 2024'!$I$9:$I$874,B199)</f>
        <v>0</v>
      </c>
      <c r="AC199" s="30">
        <f>COUNTIFS('AT. MEDICAS 2024'!$A$9:$A$874,"27/08/2025",'AT. MEDICAS 2024'!$I$9:$I$874,B199)</f>
        <v>0</v>
      </c>
      <c r="AD199" s="30">
        <f>COUNTIFS('AT. MEDICAS 2024'!$A$9:$A$874,"28/08/2025",'AT. MEDICAS 2024'!$I$9:$I$874,B199)</f>
        <v>0</v>
      </c>
      <c r="AE199" s="30">
        <f>COUNTIFS('AT. MEDICAS 2024'!$A$9:$A$874,"29/08/2025",'AT. MEDICAS 2024'!$I$9:$I$874,B199)</f>
        <v>0</v>
      </c>
      <c r="AF199" s="30">
        <f>COUNTIFS('AT. MEDICAS 2024'!$A$9:$A$874,"30/08/2025",'AT. MEDICAS 2024'!$I$9:$I$874,B199)</f>
        <v>0</v>
      </c>
      <c r="AG199" s="30">
        <f>COUNTIFS('AT. MEDICAS 2024'!$A$9:$A$874,"31/08/2025",'AT. MEDICAS 2024'!$I$9:$I$874,B199)</f>
        <v>0</v>
      </c>
      <c r="AH199" s="55">
        <f t="shared" si="25"/>
        <v>0</v>
      </c>
    </row>
    <row r="200" spans="1:34" ht="13.8" thickBot="1" x14ac:dyDescent="0.3">
      <c r="A200" s="41">
        <v>15</v>
      </c>
      <c r="B200" s="54" t="s">
        <v>189</v>
      </c>
      <c r="C200" s="30">
        <f>COUNTIFS('AT. MEDICAS 2024'!$A$9:$A$874,"01/08/2025",'AT. MEDICAS 2024'!$I$9:$I$874,B200)</f>
        <v>0</v>
      </c>
      <c r="D200" s="30">
        <f>COUNTIFS('AT. MEDICAS 2024'!$A$9:$A$874,"02/08/2025",'AT. MEDICAS 2024'!$I$9:$I$874,B200)</f>
        <v>0</v>
      </c>
      <c r="E200" s="30">
        <f>COUNTIFS('AT. MEDICAS 2024'!$A$9:$A$874,"03/08/2025",'AT. MEDICAS 2024'!$I$9:$I$874,B200)</f>
        <v>0</v>
      </c>
      <c r="F200" s="30">
        <f>COUNTIFS('AT. MEDICAS 2024'!$A$9:$A$874,"04/08/2025",'AT. MEDICAS 2024'!$I$9:$I$874,B200)</f>
        <v>0</v>
      </c>
      <c r="G200" s="30">
        <f>COUNTIFS('AT. MEDICAS 2024'!$A$9:$A$874,"05/08/2025",'AT. MEDICAS 2024'!$I$9:$I$874,B200)</f>
        <v>0</v>
      </c>
      <c r="H200" s="30">
        <f>COUNTIFS('AT. MEDICAS 2024'!$A$9:$A$874,"06/08/2025",'AT. MEDICAS 2024'!$I$9:$I$874,B200)</f>
        <v>0</v>
      </c>
      <c r="I200" s="30">
        <f>COUNTIFS('AT. MEDICAS 2024'!$A$9:$A$874,"07/08/2025",'AT. MEDICAS 2024'!$I$9:$I$874,B200)</f>
        <v>0</v>
      </c>
      <c r="J200" s="30">
        <f>COUNTIFS('AT. MEDICAS 2024'!$A$9:$A$874,"08/08/2025",'AT. MEDICAS 2024'!$I$9:$I$874,B200)</f>
        <v>0</v>
      </c>
      <c r="K200" s="30">
        <f>COUNTIFS('AT. MEDICAS 2024'!$A$9:$A$874,"09/08/2025",'AT. MEDICAS 2024'!$I$9:$I$874,B200)</f>
        <v>0</v>
      </c>
      <c r="L200" s="30">
        <f>COUNTIFS('AT. MEDICAS 2024'!$A$9:$A$874,"10/08/2025",'AT. MEDICAS 2024'!$I$9:$I$874,B200)</f>
        <v>0</v>
      </c>
      <c r="M200" s="30">
        <f>COUNTIFS('AT. MEDICAS 2024'!$A$9:$A$874,"11/08/2025",'AT. MEDICAS 2024'!$I$9:$I$874,B200)</f>
        <v>0</v>
      </c>
      <c r="N200" s="30">
        <f>COUNTIFS('AT. MEDICAS 2024'!$A$9:$A$874,"12/08/2025",'AT. MEDICAS 2024'!$I$9:$I$874,B200)</f>
        <v>0</v>
      </c>
      <c r="O200" s="30">
        <f>COUNTIFS('AT. MEDICAS 2024'!$A$9:$A$874,"13/08/2025",'AT. MEDICAS 2024'!$I$9:$I$874,B200)</f>
        <v>0</v>
      </c>
      <c r="P200" s="30">
        <f>COUNTIFS('AT. MEDICAS 2024'!$A$9:$A$874,"14/08/2025",'AT. MEDICAS 2024'!$I$9:$I$874,B200)</f>
        <v>0</v>
      </c>
      <c r="Q200" s="30">
        <f>COUNTIFS('AT. MEDICAS 2024'!$A$9:$A$874,"15/08/2025",'AT. MEDICAS 2024'!$I$9:$I$874,B200)</f>
        <v>0</v>
      </c>
      <c r="R200" s="30">
        <f>COUNTIFS('AT. MEDICAS 2024'!$A$9:$A$874,"16/08/2025",'AT. MEDICAS 2024'!$I$9:$I$874,B200)</f>
        <v>0</v>
      </c>
      <c r="S200" s="30">
        <f>COUNTIFS('AT. MEDICAS 2024'!$A$9:$A$874,"17/08/2025",'AT. MEDICAS 2024'!$I$9:$I$874,B200)</f>
        <v>0</v>
      </c>
      <c r="T200" s="30">
        <f>COUNTIFS('AT. MEDICAS 2024'!$A$9:$A$874,"18/08/2025",'AT. MEDICAS 2024'!$I$9:$I$874,B200)</f>
        <v>0</v>
      </c>
      <c r="U200" s="30">
        <f>COUNTIFS('AT. MEDICAS 2024'!$A$9:$A$874,"19/08/2025",'AT. MEDICAS 2024'!$I$9:$I$874,B200)</f>
        <v>0</v>
      </c>
      <c r="V200" s="30">
        <f>COUNTIFS('AT. MEDICAS 2024'!$A$9:$A$874,"20/08/2025",'AT. MEDICAS 2024'!$I$9:$I$874,B200)</f>
        <v>0</v>
      </c>
      <c r="W200" s="30">
        <f>COUNTIFS('AT. MEDICAS 2024'!$A$9:$A$874,"21/08/2025",'AT. MEDICAS 2024'!$I$9:$I$874,B200)</f>
        <v>0</v>
      </c>
      <c r="X200" s="30">
        <f>COUNTIFS('AT. MEDICAS 2024'!$A$9:$A$874,"22/08/2025",'AT. MEDICAS 2024'!$I$9:$I$874,B200)</f>
        <v>0</v>
      </c>
      <c r="Y200" s="30">
        <f>COUNTIFS('AT. MEDICAS 2024'!$A$9:$A$874,"23/08/2025",'AT. MEDICAS 2024'!$I$9:$I$874,B200)</f>
        <v>0</v>
      </c>
      <c r="Z200" s="30">
        <f>COUNTIFS('AT. MEDICAS 2024'!$A$9:$A$874,"24/08/2025",'AT. MEDICAS 2024'!$I$9:$I$874,B200)</f>
        <v>0</v>
      </c>
      <c r="AA200" s="30">
        <f>COUNTIFS('AT. MEDICAS 2024'!$A$9:$A$874,"25/08/2025",'AT. MEDICAS 2024'!$I$9:$I$874,B200)</f>
        <v>0</v>
      </c>
      <c r="AB200" s="30">
        <f>COUNTIFS('AT. MEDICAS 2024'!$A$9:$A$874,"26/08/2025",'AT. MEDICAS 2024'!$I$9:$I$874,B200)</f>
        <v>0</v>
      </c>
      <c r="AC200" s="30">
        <f>COUNTIFS('AT. MEDICAS 2024'!$A$9:$A$874,"27/08/2025",'AT. MEDICAS 2024'!$I$9:$I$874,B200)</f>
        <v>0</v>
      </c>
      <c r="AD200" s="30">
        <f>COUNTIFS('AT. MEDICAS 2024'!$A$9:$A$874,"28/08/2025",'AT. MEDICAS 2024'!$I$9:$I$874,B200)</f>
        <v>0</v>
      </c>
      <c r="AE200" s="30">
        <f>COUNTIFS('AT. MEDICAS 2024'!$A$9:$A$874,"29/08/2025",'AT. MEDICAS 2024'!$I$9:$I$874,B200)</f>
        <v>0</v>
      </c>
      <c r="AF200" s="30">
        <f>COUNTIFS('AT. MEDICAS 2024'!$A$9:$A$874,"30/08/2025",'AT. MEDICAS 2024'!$I$9:$I$874,B200)</f>
        <v>0</v>
      </c>
      <c r="AG200" s="30">
        <f>COUNTIFS('AT. MEDICAS 2024'!$A$9:$A$874,"31/08/2025",'AT. MEDICAS 2024'!$I$9:$I$874,B200)</f>
        <v>0</v>
      </c>
      <c r="AH200" s="55">
        <f t="shared" si="25"/>
        <v>0</v>
      </c>
    </row>
    <row r="201" spans="1:34" ht="13.8" thickBot="1" x14ac:dyDescent="0.3">
      <c r="A201" s="41">
        <v>16</v>
      </c>
      <c r="B201" s="54" t="s">
        <v>14</v>
      </c>
      <c r="C201" s="30">
        <f>COUNTIFS('AT. MEDICAS 2024'!$A$9:$A$874,"01/08/2025",'AT. MEDICAS 2024'!$I$9:$I$874,B201)</f>
        <v>0</v>
      </c>
      <c r="D201" s="30">
        <f>COUNTIFS('AT. MEDICAS 2024'!$A$9:$A$874,"02/08/2025",'AT. MEDICAS 2024'!$I$9:$I$874,B201)</f>
        <v>0</v>
      </c>
      <c r="E201" s="30">
        <f>COUNTIFS('AT. MEDICAS 2024'!$A$9:$A$874,"03/08/2025",'AT. MEDICAS 2024'!$I$9:$I$874,B201)</f>
        <v>0</v>
      </c>
      <c r="F201" s="30">
        <f>COUNTIFS('AT. MEDICAS 2024'!$A$9:$A$874,"04/08/2025",'AT. MEDICAS 2024'!$I$9:$I$874,B201)</f>
        <v>0</v>
      </c>
      <c r="G201" s="30">
        <f>COUNTIFS('AT. MEDICAS 2024'!$A$9:$A$874,"05/08/2025",'AT. MEDICAS 2024'!$I$9:$I$874,B201)</f>
        <v>0</v>
      </c>
      <c r="H201" s="30">
        <f>COUNTIFS('AT. MEDICAS 2024'!$A$9:$A$874,"06/08/2025",'AT. MEDICAS 2024'!$I$9:$I$874,B201)</f>
        <v>0</v>
      </c>
      <c r="I201" s="30">
        <f>COUNTIFS('AT. MEDICAS 2024'!$A$9:$A$874,"07/08/2025",'AT. MEDICAS 2024'!$I$9:$I$874,B201)</f>
        <v>0</v>
      </c>
      <c r="J201" s="30">
        <f>COUNTIFS('AT. MEDICAS 2024'!$A$9:$A$874,"08/08/2025",'AT. MEDICAS 2024'!$I$9:$I$874,B201)</f>
        <v>0</v>
      </c>
      <c r="K201" s="30">
        <f>COUNTIFS('AT. MEDICAS 2024'!$A$9:$A$874,"09/08/2025",'AT. MEDICAS 2024'!$I$9:$I$874,B201)</f>
        <v>0</v>
      </c>
      <c r="L201" s="30">
        <f>COUNTIFS('AT. MEDICAS 2024'!$A$9:$A$874,"10/08/2025",'AT. MEDICAS 2024'!$I$9:$I$874,B201)</f>
        <v>0</v>
      </c>
      <c r="M201" s="30">
        <f>COUNTIFS('AT. MEDICAS 2024'!$A$9:$A$874,"11/08/2025",'AT. MEDICAS 2024'!$I$9:$I$874,B201)</f>
        <v>0</v>
      </c>
      <c r="N201" s="30">
        <f>COUNTIFS('AT. MEDICAS 2024'!$A$9:$A$874,"12/08/2025",'AT. MEDICAS 2024'!$I$9:$I$874,B201)</f>
        <v>0</v>
      </c>
      <c r="O201" s="30">
        <f>COUNTIFS('AT. MEDICAS 2024'!$A$9:$A$874,"13/08/2025",'AT. MEDICAS 2024'!$I$9:$I$874,B201)</f>
        <v>0</v>
      </c>
      <c r="P201" s="30">
        <f>COUNTIFS('AT. MEDICAS 2024'!$A$9:$A$874,"14/08/2025",'AT. MEDICAS 2024'!$I$9:$I$874,B201)</f>
        <v>0</v>
      </c>
      <c r="Q201" s="30">
        <f>COUNTIFS('AT. MEDICAS 2024'!$A$9:$A$874,"15/08/2025",'AT. MEDICAS 2024'!$I$9:$I$874,B201)</f>
        <v>0</v>
      </c>
      <c r="R201" s="30">
        <f>COUNTIFS('AT. MEDICAS 2024'!$A$9:$A$874,"16/08/2025",'AT. MEDICAS 2024'!$I$9:$I$874,B201)</f>
        <v>0</v>
      </c>
      <c r="S201" s="30">
        <f>COUNTIFS('AT. MEDICAS 2024'!$A$9:$A$874,"17/08/2025",'AT. MEDICAS 2024'!$I$9:$I$874,B201)</f>
        <v>0</v>
      </c>
      <c r="T201" s="30">
        <f>COUNTIFS('AT. MEDICAS 2024'!$A$9:$A$874,"18/08/2025",'AT. MEDICAS 2024'!$I$9:$I$874,B201)</f>
        <v>0</v>
      </c>
      <c r="U201" s="30">
        <f>COUNTIFS('AT. MEDICAS 2024'!$A$9:$A$874,"19/08/2025",'AT. MEDICAS 2024'!$I$9:$I$874,B201)</f>
        <v>0</v>
      </c>
      <c r="V201" s="30">
        <f>COUNTIFS('AT. MEDICAS 2024'!$A$9:$A$874,"20/08/2025",'AT. MEDICAS 2024'!$I$9:$I$874,B201)</f>
        <v>0</v>
      </c>
      <c r="W201" s="30">
        <f>COUNTIFS('AT. MEDICAS 2024'!$A$9:$A$874,"21/08/2025",'AT. MEDICAS 2024'!$I$9:$I$874,B201)</f>
        <v>0</v>
      </c>
      <c r="X201" s="30">
        <f>COUNTIFS('AT. MEDICAS 2024'!$A$9:$A$874,"22/08/2025",'AT. MEDICAS 2024'!$I$9:$I$874,B201)</f>
        <v>0</v>
      </c>
      <c r="Y201" s="30">
        <f>COUNTIFS('AT. MEDICAS 2024'!$A$9:$A$874,"23/08/2025",'AT. MEDICAS 2024'!$I$9:$I$874,B201)</f>
        <v>0</v>
      </c>
      <c r="Z201" s="30">
        <f>COUNTIFS('AT. MEDICAS 2024'!$A$9:$A$874,"24/08/2025",'AT. MEDICAS 2024'!$I$9:$I$874,B201)</f>
        <v>0</v>
      </c>
      <c r="AA201" s="30">
        <f>COUNTIFS('AT. MEDICAS 2024'!$A$9:$A$874,"25/08/2025",'AT. MEDICAS 2024'!$I$9:$I$874,B201)</f>
        <v>0</v>
      </c>
      <c r="AB201" s="30">
        <f>COUNTIFS('AT. MEDICAS 2024'!$A$9:$A$874,"26/08/2025",'AT. MEDICAS 2024'!$I$9:$I$874,B201)</f>
        <v>0</v>
      </c>
      <c r="AC201" s="30">
        <f>COUNTIFS('AT. MEDICAS 2024'!$A$9:$A$874,"27/08/2025",'AT. MEDICAS 2024'!$I$9:$I$874,B201)</f>
        <v>0</v>
      </c>
      <c r="AD201" s="30">
        <f>COUNTIFS('AT. MEDICAS 2024'!$A$9:$A$874,"28/08/2025",'AT. MEDICAS 2024'!$I$9:$I$874,B201)</f>
        <v>0</v>
      </c>
      <c r="AE201" s="30">
        <f>COUNTIFS('AT. MEDICAS 2024'!$A$9:$A$874,"29/08/2025",'AT. MEDICAS 2024'!$I$9:$I$874,B201)</f>
        <v>0</v>
      </c>
      <c r="AF201" s="30">
        <f>COUNTIFS('AT. MEDICAS 2024'!$A$9:$A$874,"30/08/2025",'AT. MEDICAS 2024'!$I$9:$I$874,B201)</f>
        <v>0</v>
      </c>
      <c r="AG201" s="30">
        <f>COUNTIFS('AT. MEDICAS 2024'!$A$9:$A$874,"31/08/2025",'AT. MEDICAS 2024'!$I$9:$I$874,B201)</f>
        <v>0</v>
      </c>
      <c r="AH201" s="55">
        <f t="shared" si="25"/>
        <v>0</v>
      </c>
    </row>
    <row r="202" spans="1:34" ht="13.8" thickBot="1" x14ac:dyDescent="0.3">
      <c r="A202" s="41">
        <v>17</v>
      </c>
      <c r="B202" s="54" t="s">
        <v>72</v>
      </c>
      <c r="C202" s="30">
        <f>COUNTIFS('AT. MEDICAS 2024'!$A$9:$A$874,"01/08/2025",'AT. MEDICAS 2024'!$I$9:$I$874,B202)</f>
        <v>0</v>
      </c>
      <c r="D202" s="30">
        <f>COUNTIFS('AT. MEDICAS 2024'!$A$9:$A$874,"02/08/2025",'AT. MEDICAS 2024'!$I$9:$I$874,B202)</f>
        <v>0</v>
      </c>
      <c r="E202" s="30">
        <f>COUNTIFS('AT. MEDICAS 2024'!$A$9:$A$874,"03/08/2025",'AT. MEDICAS 2024'!$I$9:$I$874,B202)</f>
        <v>0</v>
      </c>
      <c r="F202" s="30">
        <f>COUNTIFS('AT. MEDICAS 2024'!$A$9:$A$874,"04/08/2025",'AT. MEDICAS 2024'!$I$9:$I$874,B202)</f>
        <v>0</v>
      </c>
      <c r="G202" s="30">
        <f>COUNTIFS('AT. MEDICAS 2024'!$A$9:$A$874,"05/08/2025",'AT. MEDICAS 2024'!$I$9:$I$874,B202)</f>
        <v>0</v>
      </c>
      <c r="H202" s="30">
        <f>COUNTIFS('AT. MEDICAS 2024'!$A$9:$A$874,"06/08/2025",'AT. MEDICAS 2024'!$I$9:$I$874,B202)</f>
        <v>0</v>
      </c>
      <c r="I202" s="30">
        <f>COUNTIFS('AT. MEDICAS 2024'!$A$9:$A$874,"07/08/2025",'AT. MEDICAS 2024'!$I$9:$I$874,B202)</f>
        <v>0</v>
      </c>
      <c r="J202" s="30">
        <f>COUNTIFS('AT. MEDICAS 2024'!$A$9:$A$874,"08/08/2025",'AT. MEDICAS 2024'!$I$9:$I$874,B202)</f>
        <v>0</v>
      </c>
      <c r="K202" s="30">
        <f>COUNTIFS('AT. MEDICAS 2024'!$A$9:$A$874,"09/08/2025",'AT. MEDICAS 2024'!$I$9:$I$874,B202)</f>
        <v>0</v>
      </c>
      <c r="L202" s="30">
        <f>COUNTIFS('AT. MEDICAS 2024'!$A$9:$A$874,"10/08/2025",'AT. MEDICAS 2024'!$I$9:$I$874,B202)</f>
        <v>0</v>
      </c>
      <c r="M202" s="30">
        <f>COUNTIFS('AT. MEDICAS 2024'!$A$9:$A$874,"11/08/2025",'AT. MEDICAS 2024'!$I$9:$I$874,B202)</f>
        <v>0</v>
      </c>
      <c r="N202" s="30">
        <f>COUNTIFS('AT. MEDICAS 2024'!$A$9:$A$874,"12/08/2025",'AT. MEDICAS 2024'!$I$9:$I$874,B202)</f>
        <v>0</v>
      </c>
      <c r="O202" s="30">
        <f>COUNTIFS('AT. MEDICAS 2024'!$A$9:$A$874,"13/08/2025",'AT. MEDICAS 2024'!$I$9:$I$874,B202)</f>
        <v>0</v>
      </c>
      <c r="P202" s="30">
        <f>COUNTIFS('AT. MEDICAS 2024'!$A$9:$A$874,"14/08/2025",'AT. MEDICAS 2024'!$I$9:$I$874,B202)</f>
        <v>0</v>
      </c>
      <c r="Q202" s="30">
        <f>COUNTIFS('AT. MEDICAS 2024'!$A$9:$A$874,"15/08/2025",'AT. MEDICAS 2024'!$I$9:$I$874,B202)</f>
        <v>0</v>
      </c>
      <c r="R202" s="30">
        <f>COUNTIFS('AT. MEDICAS 2024'!$A$9:$A$874,"16/08/2025",'AT. MEDICAS 2024'!$I$9:$I$874,B202)</f>
        <v>0</v>
      </c>
      <c r="S202" s="30">
        <f>COUNTIFS('AT. MEDICAS 2024'!$A$9:$A$874,"17/08/2025",'AT. MEDICAS 2024'!$I$9:$I$874,B202)</f>
        <v>0</v>
      </c>
      <c r="T202" s="30">
        <f>COUNTIFS('AT. MEDICAS 2024'!$A$9:$A$874,"18/08/2025",'AT. MEDICAS 2024'!$I$9:$I$874,B202)</f>
        <v>0</v>
      </c>
      <c r="U202" s="30">
        <f>COUNTIFS('AT. MEDICAS 2024'!$A$9:$A$874,"19/08/2025",'AT. MEDICAS 2024'!$I$9:$I$874,B202)</f>
        <v>0</v>
      </c>
      <c r="V202" s="30">
        <f>COUNTIFS('AT. MEDICAS 2024'!$A$9:$A$874,"20/08/2025",'AT. MEDICAS 2024'!$I$9:$I$874,B202)</f>
        <v>0</v>
      </c>
      <c r="W202" s="30">
        <f>COUNTIFS('AT. MEDICAS 2024'!$A$9:$A$874,"21/08/2025",'AT. MEDICAS 2024'!$I$9:$I$874,B202)</f>
        <v>0</v>
      </c>
      <c r="X202" s="30">
        <f>COUNTIFS('AT. MEDICAS 2024'!$A$9:$A$874,"22/08/2025",'AT. MEDICAS 2024'!$I$9:$I$874,B202)</f>
        <v>0</v>
      </c>
      <c r="Y202" s="30">
        <f>COUNTIFS('AT. MEDICAS 2024'!$A$9:$A$874,"23/08/2025",'AT. MEDICAS 2024'!$I$9:$I$874,B202)</f>
        <v>0</v>
      </c>
      <c r="Z202" s="30">
        <f>COUNTIFS('AT. MEDICAS 2024'!$A$9:$A$874,"24/08/2025",'AT. MEDICAS 2024'!$I$9:$I$874,B202)</f>
        <v>0</v>
      </c>
      <c r="AA202" s="30">
        <f>COUNTIFS('AT. MEDICAS 2024'!$A$9:$A$874,"25/08/2025",'AT. MEDICAS 2024'!$I$9:$I$874,B202)</f>
        <v>0</v>
      </c>
      <c r="AB202" s="30">
        <f>COUNTIFS('AT. MEDICAS 2024'!$A$9:$A$874,"26/08/2025",'AT. MEDICAS 2024'!$I$9:$I$874,B202)</f>
        <v>0</v>
      </c>
      <c r="AC202" s="30">
        <f>COUNTIFS('AT. MEDICAS 2024'!$A$9:$A$874,"27/08/2025",'AT. MEDICAS 2024'!$I$9:$I$874,B202)</f>
        <v>0</v>
      </c>
      <c r="AD202" s="30">
        <f>COUNTIFS('AT. MEDICAS 2024'!$A$9:$A$874,"28/08/2025",'AT. MEDICAS 2024'!$I$9:$I$874,B202)</f>
        <v>0</v>
      </c>
      <c r="AE202" s="30">
        <f>COUNTIFS('AT. MEDICAS 2024'!$A$9:$A$874,"29/08/2025",'AT. MEDICAS 2024'!$I$9:$I$874,B202)</f>
        <v>0</v>
      </c>
      <c r="AF202" s="30">
        <f>COUNTIFS('AT. MEDICAS 2024'!$A$9:$A$874,"30/08/2025",'AT. MEDICAS 2024'!$I$9:$I$874,B202)</f>
        <v>0</v>
      </c>
      <c r="AG202" s="30">
        <f>COUNTIFS('AT. MEDICAS 2024'!$A$9:$A$874,"31/08/2025",'AT. MEDICAS 2024'!$I$9:$I$874,B202)</f>
        <v>0</v>
      </c>
      <c r="AH202" s="55">
        <f t="shared" si="25"/>
        <v>0</v>
      </c>
    </row>
    <row r="203" spans="1:34" ht="13.8" thickBot="1" x14ac:dyDescent="0.3">
      <c r="A203" s="41">
        <v>18</v>
      </c>
      <c r="B203" s="54" t="s">
        <v>190</v>
      </c>
      <c r="C203" s="30">
        <f>COUNTIFS('AT. MEDICAS 2024'!$A$9:$A$874,"01/08/2025",'AT. MEDICAS 2024'!$I$9:$I$874,B203)</f>
        <v>0</v>
      </c>
      <c r="D203" s="30">
        <f>COUNTIFS('AT. MEDICAS 2024'!$A$9:$A$874,"02/08/2025",'AT. MEDICAS 2024'!$I$9:$I$874,B203)</f>
        <v>0</v>
      </c>
      <c r="E203" s="30">
        <f>COUNTIFS('AT. MEDICAS 2024'!$A$9:$A$874,"03/08/2025",'AT. MEDICAS 2024'!$I$9:$I$874,B203)</f>
        <v>0</v>
      </c>
      <c r="F203" s="30">
        <f>COUNTIFS('AT. MEDICAS 2024'!$A$9:$A$874,"04/08/2025",'AT. MEDICAS 2024'!$I$9:$I$874,B203)</f>
        <v>0</v>
      </c>
      <c r="G203" s="30">
        <f>COUNTIFS('AT. MEDICAS 2024'!$A$9:$A$874,"05/08/2025",'AT. MEDICAS 2024'!$I$9:$I$874,B203)</f>
        <v>0</v>
      </c>
      <c r="H203" s="30">
        <f>COUNTIFS('AT. MEDICAS 2024'!$A$9:$A$874,"06/08/2025",'AT. MEDICAS 2024'!$I$9:$I$874,B203)</f>
        <v>0</v>
      </c>
      <c r="I203" s="30">
        <f>COUNTIFS('AT. MEDICAS 2024'!$A$9:$A$874,"07/08/2025",'AT. MEDICAS 2024'!$I$9:$I$874,B203)</f>
        <v>0</v>
      </c>
      <c r="J203" s="30">
        <f>COUNTIFS('AT. MEDICAS 2024'!$A$9:$A$874,"08/08/2025",'AT. MEDICAS 2024'!$I$9:$I$874,B203)</f>
        <v>0</v>
      </c>
      <c r="K203" s="30">
        <f>COUNTIFS('AT. MEDICAS 2024'!$A$9:$A$874,"09/08/2025",'AT. MEDICAS 2024'!$I$9:$I$874,B203)</f>
        <v>0</v>
      </c>
      <c r="L203" s="30">
        <f>COUNTIFS('AT. MEDICAS 2024'!$A$9:$A$874,"10/08/2025",'AT. MEDICAS 2024'!$I$9:$I$874,B203)</f>
        <v>0</v>
      </c>
      <c r="M203" s="30">
        <f>COUNTIFS('AT. MEDICAS 2024'!$A$9:$A$874,"11/08/2025",'AT. MEDICAS 2024'!$I$9:$I$874,B203)</f>
        <v>0</v>
      </c>
      <c r="N203" s="30">
        <f>COUNTIFS('AT. MEDICAS 2024'!$A$9:$A$874,"12/08/2025",'AT. MEDICAS 2024'!$I$9:$I$874,B203)</f>
        <v>0</v>
      </c>
      <c r="O203" s="30">
        <f>COUNTIFS('AT. MEDICAS 2024'!$A$9:$A$874,"13/08/2025",'AT. MEDICAS 2024'!$I$9:$I$874,B203)</f>
        <v>0</v>
      </c>
      <c r="P203" s="30">
        <f>COUNTIFS('AT. MEDICAS 2024'!$A$9:$A$874,"14/08/2025",'AT. MEDICAS 2024'!$I$9:$I$874,B203)</f>
        <v>0</v>
      </c>
      <c r="Q203" s="30">
        <f>COUNTIFS('AT. MEDICAS 2024'!$A$9:$A$874,"15/08/2025",'AT. MEDICAS 2024'!$I$9:$I$874,B203)</f>
        <v>0</v>
      </c>
      <c r="R203" s="30">
        <f>COUNTIFS('AT. MEDICAS 2024'!$A$9:$A$874,"16/08/2025",'AT. MEDICAS 2024'!$I$9:$I$874,B203)</f>
        <v>0</v>
      </c>
      <c r="S203" s="30">
        <f>COUNTIFS('AT. MEDICAS 2024'!$A$9:$A$874,"17/08/2025",'AT. MEDICAS 2024'!$I$9:$I$874,B203)</f>
        <v>0</v>
      </c>
      <c r="T203" s="30">
        <f>COUNTIFS('AT. MEDICAS 2024'!$A$9:$A$874,"18/08/2025",'AT. MEDICAS 2024'!$I$9:$I$874,B203)</f>
        <v>0</v>
      </c>
      <c r="U203" s="30">
        <f>COUNTIFS('AT. MEDICAS 2024'!$A$9:$A$874,"19/08/2025",'AT. MEDICAS 2024'!$I$9:$I$874,B203)</f>
        <v>0</v>
      </c>
      <c r="V203" s="30">
        <f>COUNTIFS('AT. MEDICAS 2024'!$A$9:$A$874,"20/08/2025",'AT. MEDICAS 2024'!$I$9:$I$874,B203)</f>
        <v>0</v>
      </c>
      <c r="W203" s="30">
        <f>COUNTIFS('AT. MEDICAS 2024'!$A$9:$A$874,"21/08/2025",'AT. MEDICAS 2024'!$I$9:$I$874,B203)</f>
        <v>0</v>
      </c>
      <c r="X203" s="30">
        <f>COUNTIFS('AT. MEDICAS 2024'!$A$9:$A$874,"22/08/2025",'AT. MEDICAS 2024'!$I$9:$I$874,B203)</f>
        <v>0</v>
      </c>
      <c r="Y203" s="30">
        <f>COUNTIFS('AT. MEDICAS 2024'!$A$9:$A$874,"23/08/2025",'AT. MEDICAS 2024'!$I$9:$I$874,B203)</f>
        <v>0</v>
      </c>
      <c r="Z203" s="30">
        <f>COUNTIFS('AT. MEDICAS 2024'!$A$9:$A$874,"24/08/2025",'AT. MEDICAS 2024'!$I$9:$I$874,B203)</f>
        <v>0</v>
      </c>
      <c r="AA203" s="30">
        <f>COUNTIFS('AT. MEDICAS 2024'!$A$9:$A$874,"25/08/2025",'AT. MEDICAS 2024'!$I$9:$I$874,B203)</f>
        <v>0</v>
      </c>
      <c r="AB203" s="30">
        <f>COUNTIFS('AT. MEDICAS 2024'!$A$9:$A$874,"26/08/2025",'AT. MEDICAS 2024'!$I$9:$I$874,B203)</f>
        <v>0</v>
      </c>
      <c r="AC203" s="30">
        <f>COUNTIFS('AT. MEDICAS 2024'!$A$9:$A$874,"27/08/2025",'AT. MEDICAS 2024'!$I$9:$I$874,B203)</f>
        <v>0</v>
      </c>
      <c r="AD203" s="30">
        <f>COUNTIFS('AT. MEDICAS 2024'!$A$9:$A$874,"28/08/2025",'AT. MEDICAS 2024'!$I$9:$I$874,B203)</f>
        <v>0</v>
      </c>
      <c r="AE203" s="30">
        <f>COUNTIFS('AT. MEDICAS 2024'!$A$9:$A$874,"29/08/2025",'AT. MEDICAS 2024'!$I$9:$I$874,B203)</f>
        <v>0</v>
      </c>
      <c r="AF203" s="30">
        <f>COUNTIFS('AT. MEDICAS 2024'!$A$9:$A$874,"30/08/2025",'AT. MEDICAS 2024'!$I$9:$I$874,B203)</f>
        <v>0</v>
      </c>
      <c r="AG203" s="30">
        <f>COUNTIFS('AT. MEDICAS 2024'!$A$9:$A$874,"31/08/2025",'AT. MEDICAS 2024'!$I$9:$I$874,B203)</f>
        <v>0</v>
      </c>
      <c r="AH203" s="55">
        <f t="shared" si="25"/>
        <v>0</v>
      </c>
    </row>
    <row r="204" spans="1:34" ht="13.8" thickBot="1" x14ac:dyDescent="0.3">
      <c r="A204" s="41">
        <v>19</v>
      </c>
      <c r="B204" s="54" t="s">
        <v>118</v>
      </c>
      <c r="C204" s="30">
        <f>COUNTIFS('AT. MEDICAS 2024'!$A$9:$A$874,"01/08/2025",'AT. MEDICAS 2024'!$I$9:$I$874,B204)</f>
        <v>0</v>
      </c>
      <c r="D204" s="30">
        <f>COUNTIFS('AT. MEDICAS 2024'!$A$9:$A$874,"02/08/2025",'AT. MEDICAS 2024'!$I$9:$I$874,B204)</f>
        <v>0</v>
      </c>
      <c r="E204" s="30">
        <f>COUNTIFS('AT. MEDICAS 2024'!$A$9:$A$874,"03/08/2025",'AT. MEDICAS 2024'!$I$9:$I$874,B204)</f>
        <v>0</v>
      </c>
      <c r="F204" s="30">
        <f>COUNTIFS('AT. MEDICAS 2024'!$A$9:$A$874,"04/08/2025",'AT. MEDICAS 2024'!$I$9:$I$874,B204)</f>
        <v>0</v>
      </c>
      <c r="G204" s="30">
        <f>COUNTIFS('AT. MEDICAS 2024'!$A$9:$A$874,"05/08/2025",'AT. MEDICAS 2024'!$I$9:$I$874,B204)</f>
        <v>0</v>
      </c>
      <c r="H204" s="30">
        <f>COUNTIFS('AT. MEDICAS 2024'!$A$9:$A$874,"06/08/2025",'AT. MEDICAS 2024'!$I$9:$I$874,B204)</f>
        <v>0</v>
      </c>
      <c r="I204" s="30">
        <f>COUNTIFS('AT. MEDICAS 2024'!$A$9:$A$874,"07/08/2025",'AT. MEDICAS 2024'!$I$9:$I$874,B204)</f>
        <v>0</v>
      </c>
      <c r="J204" s="30">
        <f>COUNTIFS('AT. MEDICAS 2024'!$A$9:$A$874,"08/08/2025",'AT. MEDICAS 2024'!$I$9:$I$874,B204)</f>
        <v>0</v>
      </c>
      <c r="K204" s="30">
        <f>COUNTIFS('AT. MEDICAS 2024'!$A$9:$A$874,"09/08/2025",'AT. MEDICAS 2024'!$I$9:$I$874,B204)</f>
        <v>0</v>
      </c>
      <c r="L204" s="30">
        <f>COUNTIFS('AT. MEDICAS 2024'!$A$9:$A$874,"10/08/2025",'AT. MEDICAS 2024'!$I$9:$I$874,B204)</f>
        <v>0</v>
      </c>
      <c r="M204" s="30">
        <f>COUNTIFS('AT. MEDICAS 2024'!$A$9:$A$874,"11/08/2025",'AT. MEDICAS 2024'!$I$9:$I$874,B204)</f>
        <v>0</v>
      </c>
      <c r="N204" s="30">
        <f>COUNTIFS('AT. MEDICAS 2024'!$A$9:$A$874,"12/08/2025",'AT. MEDICAS 2024'!$I$9:$I$874,B204)</f>
        <v>0</v>
      </c>
      <c r="O204" s="30">
        <f>COUNTIFS('AT. MEDICAS 2024'!$A$9:$A$874,"13/08/2025",'AT. MEDICAS 2024'!$I$9:$I$874,B204)</f>
        <v>0</v>
      </c>
      <c r="P204" s="30">
        <f>COUNTIFS('AT. MEDICAS 2024'!$A$9:$A$874,"14/08/2025",'AT. MEDICAS 2024'!$I$9:$I$874,B204)</f>
        <v>0</v>
      </c>
      <c r="Q204" s="30">
        <f>COUNTIFS('AT. MEDICAS 2024'!$A$9:$A$874,"15/08/2025",'AT. MEDICAS 2024'!$I$9:$I$874,B204)</f>
        <v>0</v>
      </c>
      <c r="R204" s="30">
        <f>COUNTIFS('AT. MEDICAS 2024'!$A$9:$A$874,"16/08/2025",'AT. MEDICAS 2024'!$I$9:$I$874,B204)</f>
        <v>0</v>
      </c>
      <c r="S204" s="30">
        <f>COUNTIFS('AT. MEDICAS 2024'!$A$9:$A$874,"17/08/2025",'AT. MEDICAS 2024'!$I$9:$I$874,B204)</f>
        <v>0</v>
      </c>
      <c r="T204" s="30">
        <f>COUNTIFS('AT. MEDICAS 2024'!$A$9:$A$874,"18/08/2025",'AT. MEDICAS 2024'!$I$9:$I$874,B204)</f>
        <v>0</v>
      </c>
      <c r="U204" s="30">
        <f>COUNTIFS('AT. MEDICAS 2024'!$A$9:$A$874,"19/08/2025",'AT. MEDICAS 2024'!$I$9:$I$874,B204)</f>
        <v>0</v>
      </c>
      <c r="V204" s="30">
        <f>COUNTIFS('AT. MEDICAS 2024'!$A$9:$A$874,"20/08/2025",'AT. MEDICAS 2024'!$I$9:$I$874,B204)</f>
        <v>0</v>
      </c>
      <c r="W204" s="30">
        <f>COUNTIFS('AT. MEDICAS 2024'!$A$9:$A$874,"21/08/2025",'AT. MEDICAS 2024'!$I$9:$I$874,B204)</f>
        <v>0</v>
      </c>
      <c r="X204" s="30">
        <f>COUNTIFS('AT. MEDICAS 2024'!$A$9:$A$874,"22/08/2025",'AT. MEDICAS 2024'!$I$9:$I$874,B204)</f>
        <v>0</v>
      </c>
      <c r="Y204" s="30">
        <f>COUNTIFS('AT. MEDICAS 2024'!$A$9:$A$874,"23/08/2025",'AT. MEDICAS 2024'!$I$9:$I$874,B204)</f>
        <v>0</v>
      </c>
      <c r="Z204" s="30">
        <f>COUNTIFS('AT. MEDICAS 2024'!$A$9:$A$874,"24/08/2025",'AT. MEDICAS 2024'!$I$9:$I$874,B204)</f>
        <v>0</v>
      </c>
      <c r="AA204" s="30">
        <f>COUNTIFS('AT. MEDICAS 2024'!$A$9:$A$874,"25/08/2025",'AT. MEDICAS 2024'!$I$9:$I$874,B204)</f>
        <v>0</v>
      </c>
      <c r="AB204" s="30">
        <f>COUNTIFS('AT. MEDICAS 2024'!$A$9:$A$874,"26/08/2025",'AT. MEDICAS 2024'!$I$9:$I$874,B204)</f>
        <v>0</v>
      </c>
      <c r="AC204" s="30">
        <f>COUNTIFS('AT. MEDICAS 2024'!$A$9:$A$874,"27/08/2025",'AT. MEDICAS 2024'!$I$9:$I$874,B204)</f>
        <v>0</v>
      </c>
      <c r="AD204" s="30">
        <f>COUNTIFS('AT. MEDICAS 2024'!$A$9:$A$874,"28/08/2025",'AT. MEDICAS 2024'!$I$9:$I$874,B204)</f>
        <v>0</v>
      </c>
      <c r="AE204" s="30">
        <f>COUNTIFS('AT. MEDICAS 2024'!$A$9:$A$874,"29/08/2025",'AT. MEDICAS 2024'!$I$9:$I$874,B204)</f>
        <v>0</v>
      </c>
      <c r="AF204" s="30">
        <f>COUNTIFS('AT. MEDICAS 2024'!$A$9:$A$874,"30/08/2025",'AT. MEDICAS 2024'!$I$9:$I$874,B204)</f>
        <v>0</v>
      </c>
      <c r="AG204" s="30">
        <f>COUNTIFS('AT. MEDICAS 2024'!$A$9:$A$874,"31/08/2025",'AT. MEDICAS 2024'!$I$9:$I$874,B204)</f>
        <v>0</v>
      </c>
      <c r="AH204" s="55">
        <f t="shared" si="25"/>
        <v>0</v>
      </c>
    </row>
    <row r="205" spans="1:34" ht="13.8" thickBot="1" x14ac:dyDescent="0.3">
      <c r="A205" s="41">
        <v>20</v>
      </c>
      <c r="B205" s="54" t="s">
        <v>31</v>
      </c>
      <c r="C205" s="30">
        <f>COUNTIFS('AT. MEDICAS 2024'!$A$9:$A$874,"01/08/2025",'AT. MEDICAS 2024'!$I$9:$I$874,B205)</f>
        <v>0</v>
      </c>
      <c r="D205" s="30">
        <f>COUNTIFS('AT. MEDICAS 2024'!$A$9:$A$874,"02/08/2025",'AT. MEDICAS 2024'!$I$9:$I$874,B205)</f>
        <v>0</v>
      </c>
      <c r="E205" s="30">
        <f>COUNTIFS('AT. MEDICAS 2024'!$A$9:$A$874,"03/08/2025",'AT. MEDICAS 2024'!$I$9:$I$874,B205)</f>
        <v>0</v>
      </c>
      <c r="F205" s="30">
        <f>COUNTIFS('AT. MEDICAS 2024'!$A$9:$A$874,"04/08/2025",'AT. MEDICAS 2024'!$I$9:$I$874,B205)</f>
        <v>0</v>
      </c>
      <c r="G205" s="30">
        <f>COUNTIFS('AT. MEDICAS 2024'!$A$9:$A$874,"05/08/2025",'AT. MEDICAS 2024'!$I$9:$I$874,B205)</f>
        <v>0</v>
      </c>
      <c r="H205" s="30">
        <f>COUNTIFS('AT. MEDICAS 2024'!$A$9:$A$874,"06/08/2025",'AT. MEDICAS 2024'!$I$9:$I$874,B205)</f>
        <v>0</v>
      </c>
      <c r="I205" s="30">
        <f>COUNTIFS('AT. MEDICAS 2024'!$A$9:$A$874,"07/08/2025",'AT. MEDICAS 2024'!$I$9:$I$874,B205)</f>
        <v>0</v>
      </c>
      <c r="J205" s="30">
        <f>COUNTIFS('AT. MEDICAS 2024'!$A$9:$A$874,"08/08/2025",'AT. MEDICAS 2024'!$I$9:$I$874,B205)</f>
        <v>0</v>
      </c>
      <c r="K205" s="30">
        <f>COUNTIFS('AT. MEDICAS 2024'!$A$9:$A$874,"09/08/2025",'AT. MEDICAS 2024'!$I$9:$I$874,B205)</f>
        <v>0</v>
      </c>
      <c r="L205" s="30">
        <f>COUNTIFS('AT. MEDICAS 2024'!$A$9:$A$874,"10/08/2025",'AT. MEDICAS 2024'!$I$9:$I$874,B205)</f>
        <v>0</v>
      </c>
      <c r="M205" s="30">
        <f>COUNTIFS('AT. MEDICAS 2024'!$A$9:$A$874,"11/08/2025",'AT. MEDICAS 2024'!$I$9:$I$874,B205)</f>
        <v>0</v>
      </c>
      <c r="N205" s="30">
        <f>COUNTIFS('AT. MEDICAS 2024'!$A$9:$A$874,"12/08/2025",'AT. MEDICAS 2024'!$I$9:$I$874,B205)</f>
        <v>0</v>
      </c>
      <c r="O205" s="30">
        <f>COUNTIFS('AT. MEDICAS 2024'!$A$9:$A$874,"13/08/2025",'AT. MEDICAS 2024'!$I$9:$I$874,B205)</f>
        <v>0</v>
      </c>
      <c r="P205" s="30">
        <f>COUNTIFS('AT. MEDICAS 2024'!$A$9:$A$874,"14/08/2025",'AT. MEDICAS 2024'!$I$9:$I$874,B205)</f>
        <v>0</v>
      </c>
      <c r="Q205" s="30">
        <f>COUNTIFS('AT. MEDICAS 2024'!$A$9:$A$874,"15/08/2025",'AT. MEDICAS 2024'!$I$9:$I$874,B205)</f>
        <v>0</v>
      </c>
      <c r="R205" s="30">
        <f>COUNTIFS('AT. MEDICAS 2024'!$A$9:$A$874,"16/08/2025",'AT. MEDICAS 2024'!$I$9:$I$874,B205)</f>
        <v>0</v>
      </c>
      <c r="S205" s="30">
        <f>COUNTIFS('AT. MEDICAS 2024'!$A$9:$A$874,"17/08/2025",'AT. MEDICAS 2024'!$I$9:$I$874,B205)</f>
        <v>0</v>
      </c>
      <c r="T205" s="30">
        <f>COUNTIFS('AT. MEDICAS 2024'!$A$9:$A$874,"18/08/2025",'AT. MEDICAS 2024'!$I$9:$I$874,B205)</f>
        <v>0</v>
      </c>
      <c r="U205" s="30">
        <f>COUNTIFS('AT. MEDICAS 2024'!$A$9:$A$874,"19/08/2025",'AT. MEDICAS 2024'!$I$9:$I$874,B205)</f>
        <v>0</v>
      </c>
      <c r="V205" s="30">
        <f>COUNTIFS('AT. MEDICAS 2024'!$A$9:$A$874,"20/08/2025",'AT. MEDICAS 2024'!$I$9:$I$874,B205)</f>
        <v>0</v>
      </c>
      <c r="W205" s="30">
        <f>COUNTIFS('AT. MEDICAS 2024'!$A$9:$A$874,"21/08/2025",'AT. MEDICAS 2024'!$I$9:$I$874,B205)</f>
        <v>0</v>
      </c>
      <c r="X205" s="30">
        <f>COUNTIFS('AT. MEDICAS 2024'!$A$9:$A$874,"22/08/2025",'AT. MEDICAS 2024'!$I$9:$I$874,B205)</f>
        <v>0</v>
      </c>
      <c r="Y205" s="30">
        <f>COUNTIFS('AT. MEDICAS 2024'!$A$9:$A$874,"23/08/2025",'AT. MEDICAS 2024'!$I$9:$I$874,B205)</f>
        <v>0</v>
      </c>
      <c r="Z205" s="30">
        <f>COUNTIFS('AT. MEDICAS 2024'!$A$9:$A$874,"24/08/2025",'AT. MEDICAS 2024'!$I$9:$I$874,B205)</f>
        <v>0</v>
      </c>
      <c r="AA205" s="30">
        <f>COUNTIFS('AT. MEDICAS 2024'!$A$9:$A$874,"25/08/2025",'AT. MEDICAS 2024'!$I$9:$I$874,B205)</f>
        <v>0</v>
      </c>
      <c r="AB205" s="30">
        <f>COUNTIFS('AT. MEDICAS 2024'!$A$9:$A$874,"26/08/2025",'AT. MEDICAS 2024'!$I$9:$I$874,B205)</f>
        <v>0</v>
      </c>
      <c r="AC205" s="30">
        <f>COUNTIFS('AT. MEDICAS 2024'!$A$9:$A$874,"27/08/2025",'AT. MEDICAS 2024'!$I$9:$I$874,B205)</f>
        <v>0</v>
      </c>
      <c r="AD205" s="30">
        <f>COUNTIFS('AT. MEDICAS 2024'!$A$9:$A$874,"28/08/2025",'AT. MEDICAS 2024'!$I$9:$I$874,B205)</f>
        <v>0</v>
      </c>
      <c r="AE205" s="30">
        <f>COUNTIFS('AT. MEDICAS 2024'!$A$9:$A$874,"29/08/2025",'AT. MEDICAS 2024'!$I$9:$I$874,B205)</f>
        <v>0</v>
      </c>
      <c r="AF205" s="30">
        <f>COUNTIFS('AT. MEDICAS 2024'!$A$9:$A$874,"30/08/2025",'AT. MEDICAS 2024'!$I$9:$I$874,B205)</f>
        <v>0</v>
      </c>
      <c r="AG205" s="30">
        <f>COUNTIFS('AT. MEDICAS 2024'!$A$9:$A$874,"31/08/2025",'AT. MEDICAS 2024'!$I$9:$I$874,B205)</f>
        <v>0</v>
      </c>
      <c r="AH205" s="55">
        <f t="shared" si="25"/>
        <v>0</v>
      </c>
    </row>
    <row r="206" spans="1:34" ht="18.600000000000001" customHeight="1" thickBot="1" x14ac:dyDescent="0.3">
      <c r="A206" s="92"/>
      <c r="B206" s="93"/>
      <c r="C206" s="55">
        <f>SUM(C186:C205)</f>
        <v>0</v>
      </c>
      <c r="D206" s="55">
        <f t="shared" ref="D206:AE206" si="26">SUM(D186:D205)</f>
        <v>0</v>
      </c>
      <c r="E206" s="55">
        <f t="shared" si="26"/>
        <v>0</v>
      </c>
      <c r="F206" s="55">
        <f t="shared" si="26"/>
        <v>0</v>
      </c>
      <c r="G206" s="55">
        <f t="shared" si="26"/>
        <v>0</v>
      </c>
      <c r="H206" s="55">
        <f t="shared" si="26"/>
        <v>0</v>
      </c>
      <c r="I206" s="55">
        <f t="shared" si="26"/>
        <v>0</v>
      </c>
      <c r="J206" s="55">
        <f t="shared" si="26"/>
        <v>0</v>
      </c>
      <c r="K206" s="55">
        <f t="shared" si="26"/>
        <v>0</v>
      </c>
      <c r="L206" s="55">
        <f t="shared" si="26"/>
        <v>0</v>
      </c>
      <c r="M206" s="55">
        <f t="shared" si="26"/>
        <v>0</v>
      </c>
      <c r="N206" s="55">
        <f t="shared" si="26"/>
        <v>0</v>
      </c>
      <c r="O206" s="55">
        <f t="shared" si="26"/>
        <v>0</v>
      </c>
      <c r="P206" s="55">
        <f t="shared" si="26"/>
        <v>0</v>
      </c>
      <c r="Q206" s="55">
        <f t="shared" si="26"/>
        <v>0</v>
      </c>
      <c r="R206" s="55">
        <f t="shared" si="26"/>
        <v>0</v>
      </c>
      <c r="S206" s="55">
        <f t="shared" si="26"/>
        <v>0</v>
      </c>
      <c r="T206" s="55">
        <f t="shared" si="26"/>
        <v>0</v>
      </c>
      <c r="U206" s="55">
        <f t="shared" si="26"/>
        <v>0</v>
      </c>
      <c r="V206" s="55">
        <f t="shared" si="26"/>
        <v>0</v>
      </c>
      <c r="W206" s="55">
        <f t="shared" si="26"/>
        <v>0</v>
      </c>
      <c r="X206" s="55">
        <f t="shared" si="26"/>
        <v>0</v>
      </c>
      <c r="Y206" s="55">
        <f t="shared" si="26"/>
        <v>0</v>
      </c>
      <c r="Z206" s="55">
        <f t="shared" si="26"/>
        <v>0</v>
      </c>
      <c r="AA206" s="55">
        <f t="shared" si="26"/>
        <v>0</v>
      </c>
      <c r="AB206" s="55">
        <f t="shared" si="26"/>
        <v>0</v>
      </c>
      <c r="AC206" s="55">
        <f t="shared" si="26"/>
        <v>0</v>
      </c>
      <c r="AD206" s="55">
        <f t="shared" si="26"/>
        <v>0</v>
      </c>
      <c r="AE206" s="55">
        <f t="shared" si="26"/>
        <v>0</v>
      </c>
      <c r="AF206" s="55">
        <f>SUM(AF186:AF205)</f>
        <v>0</v>
      </c>
      <c r="AG206" s="55">
        <f>SUM(AG186:AG205)</f>
        <v>0</v>
      </c>
      <c r="AH206" s="30">
        <f>SUM(AH186:AH205)</f>
        <v>0</v>
      </c>
    </row>
    <row r="208" spans="1:34" ht="28.8" customHeight="1" x14ac:dyDescent="0.25">
      <c r="A208" s="92" t="s">
        <v>174</v>
      </c>
      <c r="B208" s="93"/>
      <c r="C208" s="111">
        <v>45901</v>
      </c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12"/>
      <c r="AG208" s="112"/>
      <c r="AH208" s="113" t="s">
        <v>178</v>
      </c>
    </row>
    <row r="209" spans="1:34" ht="13.8" thickBot="1" x14ac:dyDescent="0.3">
      <c r="A209" s="115" t="s">
        <v>175</v>
      </c>
      <c r="B209" s="115" t="s">
        <v>176</v>
      </c>
      <c r="C209" s="45">
        <v>1</v>
      </c>
      <c r="D209" s="45">
        <v>2</v>
      </c>
      <c r="E209" s="45">
        <v>3</v>
      </c>
      <c r="F209" s="45">
        <v>4</v>
      </c>
      <c r="G209" s="45">
        <v>5</v>
      </c>
      <c r="H209" s="45">
        <v>6</v>
      </c>
      <c r="I209" s="45">
        <v>7</v>
      </c>
      <c r="J209" s="45">
        <v>8</v>
      </c>
      <c r="K209" s="45">
        <v>9</v>
      </c>
      <c r="L209" s="45">
        <v>10</v>
      </c>
      <c r="M209" s="45">
        <v>11</v>
      </c>
      <c r="N209" s="45">
        <v>12</v>
      </c>
      <c r="O209" s="45">
        <v>13</v>
      </c>
      <c r="P209" s="45">
        <v>14</v>
      </c>
      <c r="Q209" s="45">
        <v>15</v>
      </c>
      <c r="R209" s="45">
        <v>16</v>
      </c>
      <c r="S209" s="45">
        <v>17</v>
      </c>
      <c r="T209" s="45">
        <v>18</v>
      </c>
      <c r="U209" s="45">
        <v>19</v>
      </c>
      <c r="V209" s="45">
        <v>20</v>
      </c>
      <c r="W209" s="45">
        <v>21</v>
      </c>
      <c r="X209" s="45">
        <v>22</v>
      </c>
      <c r="Y209" s="45">
        <v>23</v>
      </c>
      <c r="Z209" s="45">
        <v>24</v>
      </c>
      <c r="AA209" s="45">
        <v>25</v>
      </c>
      <c r="AB209" s="45">
        <v>26</v>
      </c>
      <c r="AC209" s="45">
        <v>27</v>
      </c>
      <c r="AD209" s="45">
        <v>28</v>
      </c>
      <c r="AE209" s="45">
        <v>29</v>
      </c>
      <c r="AF209" s="45">
        <v>30</v>
      </c>
      <c r="AG209" s="45"/>
      <c r="AH209" s="114"/>
    </row>
    <row r="210" spans="1:34" ht="13.8" thickBot="1" x14ac:dyDescent="0.3">
      <c r="A210" s="116"/>
      <c r="B210" s="116"/>
      <c r="C210" s="28" t="s">
        <v>179</v>
      </c>
      <c r="D210" s="28" t="s">
        <v>24</v>
      </c>
      <c r="E210" s="28" t="s">
        <v>24</v>
      </c>
      <c r="F210" s="28" t="s">
        <v>180</v>
      </c>
      <c r="G210" s="28" t="s">
        <v>181</v>
      </c>
      <c r="H210" s="28" t="s">
        <v>182</v>
      </c>
      <c r="I210" s="28" t="s">
        <v>183</v>
      </c>
      <c r="J210" s="28" t="s">
        <v>179</v>
      </c>
      <c r="K210" s="28" t="s">
        <v>24</v>
      </c>
      <c r="L210" s="28" t="s">
        <v>24</v>
      </c>
      <c r="M210" s="28" t="s">
        <v>180</v>
      </c>
      <c r="N210" s="28" t="s">
        <v>181</v>
      </c>
      <c r="O210" s="28" t="s">
        <v>182</v>
      </c>
      <c r="P210" s="28" t="s">
        <v>183</v>
      </c>
      <c r="Q210" s="28" t="s">
        <v>179</v>
      </c>
      <c r="R210" s="28" t="s">
        <v>24</v>
      </c>
      <c r="S210" s="28" t="s">
        <v>24</v>
      </c>
      <c r="T210" s="28" t="s">
        <v>180</v>
      </c>
      <c r="U210" s="28" t="s">
        <v>181</v>
      </c>
      <c r="V210" s="28" t="s">
        <v>182</v>
      </c>
      <c r="W210" s="28" t="s">
        <v>183</v>
      </c>
      <c r="X210" s="28" t="s">
        <v>179</v>
      </c>
      <c r="Y210" s="28" t="s">
        <v>24</v>
      </c>
      <c r="Z210" s="28" t="s">
        <v>24</v>
      </c>
      <c r="AA210" s="28" t="s">
        <v>180</v>
      </c>
      <c r="AB210" s="28" t="s">
        <v>181</v>
      </c>
      <c r="AC210" s="28" t="s">
        <v>182</v>
      </c>
      <c r="AD210" s="28" t="s">
        <v>183</v>
      </c>
      <c r="AE210" s="28" t="s">
        <v>179</v>
      </c>
      <c r="AF210" s="28" t="s">
        <v>24</v>
      </c>
      <c r="AG210" s="28"/>
      <c r="AH210" s="17" t="s">
        <v>184</v>
      </c>
    </row>
    <row r="211" spans="1:34" ht="13.8" thickBot="1" x14ac:dyDescent="0.3">
      <c r="A211" s="41">
        <v>1</v>
      </c>
      <c r="B211" s="54" t="s">
        <v>185</v>
      </c>
      <c r="C211" s="30">
        <f>COUNTIFS('AT. MEDICAS 2024'!$A$9:$A$874,"01/09/2025",'AT. MEDICAS 2024'!$I$9:$I$874,B211)</f>
        <v>0</v>
      </c>
      <c r="D211" s="30">
        <f>COUNTIFS('AT. MEDICAS 2024'!$A$9:$A$874,"02/09/2025",'AT. MEDICAS 2024'!$I$9:$I$874,B211)</f>
        <v>0</v>
      </c>
      <c r="E211" s="30">
        <f>COUNTIFS('AT. MEDICAS 2024'!$A$9:$A$874,"03/09/2025",'AT. MEDICAS 2024'!$I$9:$I$874,B211)</f>
        <v>0</v>
      </c>
      <c r="F211" s="30">
        <f>COUNTIFS('AT. MEDICAS 2024'!$A$9:$A$874,"04/09/2025",'AT. MEDICAS 2024'!$I$9:$I$874,B211)</f>
        <v>0</v>
      </c>
      <c r="G211" s="30">
        <f>COUNTIFS('AT. MEDICAS 2024'!$A$9:$A$874,"05/09/2025",'AT. MEDICAS 2024'!$I$9:$I$874,B211)</f>
        <v>0</v>
      </c>
      <c r="H211" s="30">
        <f>COUNTIFS('AT. MEDICAS 2024'!$A$9:$A$874,"06/09/2025",'AT. MEDICAS 2024'!$I$9:$I$874,B211)</f>
        <v>0</v>
      </c>
      <c r="I211" s="30">
        <f>COUNTIFS('AT. MEDICAS 2024'!$A$9:$A$874,"07/09/2025",'AT. MEDICAS 2024'!$I$9:$I$874,B211)</f>
        <v>0</v>
      </c>
      <c r="J211" s="30">
        <f>COUNTIFS('AT. MEDICAS 2024'!$A$9:$A$874,"08/09/2025",'AT. MEDICAS 2024'!$I$9:$I$874,B211)</f>
        <v>0</v>
      </c>
      <c r="K211" s="30">
        <f>COUNTIFS('AT. MEDICAS 2024'!$A$9:$A$874,"09/09/2025",'AT. MEDICAS 2024'!$I$9:$I$874,B211)</f>
        <v>0</v>
      </c>
      <c r="L211" s="30">
        <f>COUNTIFS('AT. MEDICAS 2024'!$A$9:$A$874,"10/09/2025",'AT. MEDICAS 2024'!$I$9:$I$874,B211)</f>
        <v>0</v>
      </c>
      <c r="M211" s="30">
        <f>COUNTIFS('AT. MEDICAS 2024'!$A$9:$A$874,"11/09/2025",'AT. MEDICAS 2024'!$I$9:$I$874,B211)</f>
        <v>0</v>
      </c>
      <c r="N211" s="30">
        <f>COUNTIFS('AT. MEDICAS 2024'!$A$9:$A$874,"12/09/2025",'AT. MEDICAS 2024'!$I$9:$I$874,B211)</f>
        <v>0</v>
      </c>
      <c r="O211" s="30">
        <f>COUNTIFS('AT. MEDICAS 2024'!$A$9:$A$874,"13/09/2025",'AT. MEDICAS 2024'!$I$9:$I$874,B211)</f>
        <v>0</v>
      </c>
      <c r="P211" s="30">
        <f>COUNTIFS('AT. MEDICAS 2024'!$A$9:$A$874,"14/09/2025",'AT. MEDICAS 2024'!$I$9:$I$874,B211)</f>
        <v>0</v>
      </c>
      <c r="Q211" s="30">
        <f>COUNTIFS('AT. MEDICAS 2024'!$A$9:$A$874,"15/09/2025",'AT. MEDICAS 2024'!$I$9:$I$874,B211)</f>
        <v>0</v>
      </c>
      <c r="R211" s="30">
        <f>COUNTIFS('AT. MEDICAS 2024'!$A$9:$A$874,"16/09/2025",'AT. MEDICAS 2024'!$I$9:$I$874,B211)</f>
        <v>0</v>
      </c>
      <c r="S211" s="30">
        <f>COUNTIFS('AT. MEDICAS 2024'!$A$9:$A$874,"17/09/2025",'AT. MEDICAS 2024'!$I$9:$I$874,B211)</f>
        <v>0</v>
      </c>
      <c r="T211" s="30">
        <f>COUNTIFS('AT. MEDICAS 2024'!$A$9:$A$874,"18/09/2025",'AT. MEDICAS 2024'!$I$9:$I$874,B211)</f>
        <v>0</v>
      </c>
      <c r="U211" s="30">
        <f>COUNTIFS('AT. MEDICAS 2024'!$A$9:$A$874,"19/09/2025",'AT. MEDICAS 2024'!$I$9:$I$874,B211)</f>
        <v>0</v>
      </c>
      <c r="V211" s="30">
        <f>COUNTIFS('AT. MEDICAS 2024'!$A$9:$A$874,"20/09/2025",'AT. MEDICAS 2024'!$I$9:$I$874,B211)</f>
        <v>0</v>
      </c>
      <c r="W211" s="30">
        <f>COUNTIFS('AT. MEDICAS 2024'!$A$9:$A$874,"21/09/2025",'AT. MEDICAS 2024'!$I$9:$I$874,B211)</f>
        <v>0</v>
      </c>
      <c r="X211" s="30">
        <f>COUNTIFS('AT. MEDICAS 2024'!$A$9:$A$874,"22/09/2025",'AT. MEDICAS 2024'!$I$9:$I$874,B211)</f>
        <v>0</v>
      </c>
      <c r="Y211" s="30">
        <f>COUNTIFS('AT. MEDICAS 2024'!$A$9:$A$874,"23/09/2025",'AT. MEDICAS 2024'!$I$9:$I$874,B211)</f>
        <v>0</v>
      </c>
      <c r="Z211" s="30">
        <f>COUNTIFS('AT. MEDICAS 2024'!$A$9:$A$874,"24/09/2025",'AT. MEDICAS 2024'!$I$9:$I$874,B211)</f>
        <v>0</v>
      </c>
      <c r="AA211" s="30">
        <f>COUNTIFS('AT. MEDICAS 2024'!$A$9:$A$874,"25/09/2025",'AT. MEDICAS 2024'!$I$9:$I$874,B211)</f>
        <v>0</v>
      </c>
      <c r="AB211" s="30">
        <f>COUNTIFS('AT. MEDICAS 2024'!$A$9:$A$874,"26/09/2025",'AT. MEDICAS 2024'!$I$9:$I$874,B211)</f>
        <v>0</v>
      </c>
      <c r="AC211" s="30">
        <f>COUNTIFS('AT. MEDICAS 2024'!$A$9:$A$874,"27/09/2025",'AT. MEDICAS 2024'!$I$9:$I$874,B211)</f>
        <v>0</v>
      </c>
      <c r="AD211" s="30">
        <f>COUNTIFS('AT. MEDICAS 2024'!$A$9:$A$874,"28/09/2025",'AT. MEDICAS 2024'!$I$9:$I$874,B211)</f>
        <v>0</v>
      </c>
      <c r="AE211" s="30">
        <f>COUNTIFS('AT. MEDICAS 2024'!$A$9:$A$874,"29/09/2025",'AT. MEDICAS 2024'!$I$9:$I$874,B211)</f>
        <v>0</v>
      </c>
      <c r="AF211" s="30">
        <f>COUNTIFS('AT. MEDICAS 2024'!$A$9:$A$874,"30/09/2025",'AT. MEDICAS 2024'!$I$9:$I$874,B211)</f>
        <v>0</v>
      </c>
      <c r="AG211" s="30"/>
      <c r="AH211" s="55">
        <f t="shared" ref="AH211:AH230" si="27">SUM(C211:AG211)</f>
        <v>0</v>
      </c>
    </row>
    <row r="212" spans="1:34" ht="13.8" thickBot="1" x14ac:dyDescent="0.3">
      <c r="A212" s="41">
        <v>2</v>
      </c>
      <c r="B212" s="54" t="s">
        <v>186</v>
      </c>
      <c r="C212" s="30">
        <f>COUNTIFS('AT. MEDICAS 2024'!$A$9:$A$874,"01/09/2025",'AT. MEDICAS 2024'!$I$9:$I$874,B212)</f>
        <v>0</v>
      </c>
      <c r="D212" s="30">
        <f>COUNTIFS('AT. MEDICAS 2024'!$A$9:$A$874,"02/09/2025",'AT. MEDICAS 2024'!$I$9:$I$874,B212)</f>
        <v>0</v>
      </c>
      <c r="E212" s="30">
        <f>COUNTIFS('AT. MEDICAS 2024'!$A$9:$A$874,"03/09/2025",'AT. MEDICAS 2024'!$I$9:$I$874,B212)</f>
        <v>0</v>
      </c>
      <c r="F212" s="30">
        <f>COUNTIFS('AT. MEDICAS 2024'!$A$9:$A$874,"04/09/2025",'AT. MEDICAS 2024'!$I$9:$I$874,B212)</f>
        <v>0</v>
      </c>
      <c r="G212" s="30">
        <f>COUNTIFS('AT. MEDICAS 2024'!$A$9:$A$874,"05/09/2025",'AT. MEDICAS 2024'!$I$9:$I$874,B212)</f>
        <v>0</v>
      </c>
      <c r="H212" s="30">
        <f>COUNTIFS('AT. MEDICAS 2024'!$A$9:$A$874,"06/09/2025",'AT. MEDICAS 2024'!$I$9:$I$874,B212)</f>
        <v>0</v>
      </c>
      <c r="I212" s="30">
        <f>COUNTIFS('AT. MEDICAS 2024'!$A$9:$A$874,"07/09/2025",'AT. MEDICAS 2024'!$I$9:$I$874,B212)</f>
        <v>0</v>
      </c>
      <c r="J212" s="30">
        <f>COUNTIFS('AT. MEDICAS 2024'!$A$9:$A$874,"08/09/2025",'AT. MEDICAS 2024'!$I$9:$I$874,B212)</f>
        <v>0</v>
      </c>
      <c r="K212" s="30">
        <f>COUNTIFS('AT. MEDICAS 2024'!$A$9:$A$874,"09/09/2025",'AT. MEDICAS 2024'!$I$9:$I$874,B212)</f>
        <v>0</v>
      </c>
      <c r="L212" s="30">
        <f>COUNTIFS('AT. MEDICAS 2024'!$A$9:$A$874,"10/09/2025",'AT. MEDICAS 2024'!$I$9:$I$874,B212)</f>
        <v>0</v>
      </c>
      <c r="M212" s="30">
        <f>COUNTIFS('AT. MEDICAS 2024'!$A$9:$A$874,"11/09/2025",'AT. MEDICAS 2024'!$I$9:$I$874,B212)</f>
        <v>0</v>
      </c>
      <c r="N212" s="30">
        <f>COUNTIFS('AT. MEDICAS 2024'!$A$9:$A$874,"12/09/2025",'AT. MEDICAS 2024'!$I$9:$I$874,B212)</f>
        <v>0</v>
      </c>
      <c r="O212" s="30">
        <f>COUNTIFS('AT. MEDICAS 2024'!$A$9:$A$874,"13/09/2025",'AT. MEDICAS 2024'!$I$9:$I$874,B212)</f>
        <v>0</v>
      </c>
      <c r="P212" s="30">
        <f>COUNTIFS('AT. MEDICAS 2024'!$A$9:$A$874,"14/09/2025",'AT. MEDICAS 2024'!$I$9:$I$874,B212)</f>
        <v>0</v>
      </c>
      <c r="Q212" s="30">
        <f>COUNTIFS('AT. MEDICAS 2024'!$A$9:$A$874,"15/09/2025",'AT. MEDICAS 2024'!$I$9:$I$874,B212)</f>
        <v>0</v>
      </c>
      <c r="R212" s="30">
        <f>COUNTIFS('AT. MEDICAS 2024'!$A$9:$A$874,"16/09/2025",'AT. MEDICAS 2024'!$I$9:$I$874,B212)</f>
        <v>0</v>
      </c>
      <c r="S212" s="30">
        <f>COUNTIFS('AT. MEDICAS 2024'!$A$9:$A$874,"17/09/2025",'AT. MEDICAS 2024'!$I$9:$I$874,B212)</f>
        <v>0</v>
      </c>
      <c r="T212" s="30">
        <f>COUNTIFS('AT. MEDICAS 2024'!$A$9:$A$874,"18/09/2025",'AT. MEDICAS 2024'!$I$9:$I$874,B212)</f>
        <v>0</v>
      </c>
      <c r="U212" s="30">
        <f>COUNTIFS('AT. MEDICAS 2024'!$A$9:$A$874,"19/09/2025",'AT. MEDICAS 2024'!$I$9:$I$874,B212)</f>
        <v>0</v>
      </c>
      <c r="V212" s="30">
        <f>COUNTIFS('AT. MEDICAS 2024'!$A$9:$A$874,"20/09/2025",'AT. MEDICAS 2024'!$I$9:$I$874,B212)</f>
        <v>0</v>
      </c>
      <c r="W212" s="30">
        <f>COUNTIFS('AT. MEDICAS 2024'!$A$9:$A$874,"21/09/2025",'AT. MEDICAS 2024'!$I$9:$I$874,B212)</f>
        <v>0</v>
      </c>
      <c r="X212" s="30">
        <f>COUNTIFS('AT. MEDICAS 2024'!$A$9:$A$874,"22/09/2025",'AT. MEDICAS 2024'!$I$9:$I$874,B212)</f>
        <v>0</v>
      </c>
      <c r="Y212" s="30">
        <f>COUNTIFS('AT. MEDICAS 2024'!$A$9:$A$874,"23/09/2025",'AT. MEDICAS 2024'!$I$9:$I$874,B212)</f>
        <v>0</v>
      </c>
      <c r="Z212" s="30">
        <f>COUNTIFS('AT. MEDICAS 2024'!$A$9:$A$874,"24/09/2025",'AT. MEDICAS 2024'!$I$9:$I$874,B212)</f>
        <v>0</v>
      </c>
      <c r="AA212" s="30">
        <f>COUNTIFS('AT. MEDICAS 2024'!$A$9:$A$874,"25/09/2025",'AT. MEDICAS 2024'!$I$9:$I$874,B212)</f>
        <v>0</v>
      </c>
      <c r="AB212" s="30">
        <f>COUNTIFS('AT. MEDICAS 2024'!$A$9:$A$874,"26/09/2025",'AT. MEDICAS 2024'!$I$9:$I$874,B212)</f>
        <v>0</v>
      </c>
      <c r="AC212" s="30">
        <f>COUNTIFS('AT. MEDICAS 2024'!$A$9:$A$874,"27/09/2025",'AT. MEDICAS 2024'!$I$9:$I$874,B212)</f>
        <v>0</v>
      </c>
      <c r="AD212" s="30">
        <f>COUNTIFS('AT. MEDICAS 2024'!$A$9:$A$874,"28/09/2025",'AT. MEDICAS 2024'!$I$9:$I$874,B212)</f>
        <v>0</v>
      </c>
      <c r="AE212" s="30">
        <f>COUNTIFS('AT. MEDICAS 2024'!$A$9:$A$874,"29/09/2025",'AT. MEDICAS 2024'!$I$9:$I$874,B212)</f>
        <v>0</v>
      </c>
      <c r="AF212" s="30">
        <f>COUNTIFS('AT. MEDICAS 2024'!$A$9:$A$874,"30/09/2025",'AT. MEDICAS 2024'!$I$9:$I$874,B212)</f>
        <v>0</v>
      </c>
      <c r="AG212" s="30"/>
      <c r="AH212" s="55">
        <f t="shared" si="27"/>
        <v>0</v>
      </c>
    </row>
    <row r="213" spans="1:34" ht="13.8" thickBot="1" x14ac:dyDescent="0.3">
      <c r="A213" s="41">
        <v>3</v>
      </c>
      <c r="B213" s="54" t="s">
        <v>94</v>
      </c>
      <c r="C213" s="30">
        <f>COUNTIFS('AT. MEDICAS 2024'!$A$9:$A$874,"01/09/2025",'AT. MEDICAS 2024'!$I$9:$I$874,B213)</f>
        <v>0</v>
      </c>
      <c r="D213" s="30">
        <f>COUNTIFS('AT. MEDICAS 2024'!$A$9:$A$874,"02/09/2025",'AT. MEDICAS 2024'!$I$9:$I$874,B213)</f>
        <v>0</v>
      </c>
      <c r="E213" s="30">
        <f>COUNTIFS('AT. MEDICAS 2024'!$A$9:$A$874,"03/09/2025",'AT. MEDICAS 2024'!$I$9:$I$874,B213)</f>
        <v>0</v>
      </c>
      <c r="F213" s="30">
        <f>COUNTIFS('AT. MEDICAS 2024'!$A$9:$A$874,"04/09/2025",'AT. MEDICAS 2024'!$I$9:$I$874,B213)</f>
        <v>0</v>
      </c>
      <c r="G213" s="30">
        <f>COUNTIFS('AT. MEDICAS 2024'!$A$9:$A$874,"05/09/2025",'AT. MEDICAS 2024'!$I$9:$I$874,B213)</f>
        <v>0</v>
      </c>
      <c r="H213" s="30">
        <f>COUNTIFS('AT. MEDICAS 2024'!$A$9:$A$874,"06/09/2025",'AT. MEDICAS 2024'!$I$9:$I$874,B213)</f>
        <v>0</v>
      </c>
      <c r="I213" s="30">
        <f>COUNTIFS('AT. MEDICAS 2024'!$A$9:$A$874,"07/09/2025",'AT. MEDICAS 2024'!$I$9:$I$874,B213)</f>
        <v>0</v>
      </c>
      <c r="J213" s="30">
        <f>COUNTIFS('AT. MEDICAS 2024'!$A$9:$A$874,"08/09/2025",'AT. MEDICAS 2024'!$I$9:$I$874,B213)</f>
        <v>0</v>
      </c>
      <c r="K213" s="30">
        <f>COUNTIFS('AT. MEDICAS 2024'!$A$9:$A$874,"09/09/2025",'AT. MEDICAS 2024'!$I$9:$I$874,B213)</f>
        <v>0</v>
      </c>
      <c r="L213" s="30">
        <f>COUNTIFS('AT. MEDICAS 2024'!$A$9:$A$874,"10/09/2025",'AT. MEDICAS 2024'!$I$9:$I$874,B213)</f>
        <v>0</v>
      </c>
      <c r="M213" s="30">
        <f>COUNTIFS('AT. MEDICAS 2024'!$A$9:$A$874,"11/09/2025",'AT. MEDICAS 2024'!$I$9:$I$874,B213)</f>
        <v>0</v>
      </c>
      <c r="N213" s="30">
        <f>COUNTIFS('AT. MEDICAS 2024'!$A$9:$A$874,"12/09/2025",'AT. MEDICAS 2024'!$I$9:$I$874,B213)</f>
        <v>0</v>
      </c>
      <c r="O213" s="30">
        <f>COUNTIFS('AT. MEDICAS 2024'!$A$9:$A$874,"13/09/2025",'AT. MEDICAS 2024'!$I$9:$I$874,B213)</f>
        <v>0</v>
      </c>
      <c r="P213" s="30">
        <f>COUNTIFS('AT. MEDICAS 2024'!$A$9:$A$874,"14/09/2025",'AT. MEDICAS 2024'!$I$9:$I$874,B213)</f>
        <v>0</v>
      </c>
      <c r="Q213" s="30">
        <f>COUNTIFS('AT. MEDICAS 2024'!$A$9:$A$874,"15/09/2025",'AT. MEDICAS 2024'!$I$9:$I$874,B213)</f>
        <v>0</v>
      </c>
      <c r="R213" s="30">
        <f>COUNTIFS('AT. MEDICAS 2024'!$A$9:$A$874,"16/09/2025",'AT. MEDICAS 2024'!$I$9:$I$874,B213)</f>
        <v>0</v>
      </c>
      <c r="S213" s="30">
        <f>COUNTIFS('AT. MEDICAS 2024'!$A$9:$A$874,"17/09/2025",'AT. MEDICAS 2024'!$I$9:$I$874,B213)</f>
        <v>0</v>
      </c>
      <c r="T213" s="30">
        <f>COUNTIFS('AT. MEDICAS 2024'!$A$9:$A$874,"18/09/2025",'AT. MEDICAS 2024'!$I$9:$I$874,B213)</f>
        <v>0</v>
      </c>
      <c r="U213" s="30">
        <f>COUNTIFS('AT. MEDICAS 2024'!$A$9:$A$874,"19/09/2025",'AT. MEDICAS 2024'!$I$9:$I$874,B213)</f>
        <v>0</v>
      </c>
      <c r="V213" s="30">
        <f>COUNTIFS('AT. MEDICAS 2024'!$A$9:$A$874,"20/09/2025",'AT. MEDICAS 2024'!$I$9:$I$874,B213)</f>
        <v>0</v>
      </c>
      <c r="W213" s="30">
        <f>COUNTIFS('AT. MEDICAS 2024'!$A$9:$A$874,"21/09/2025",'AT. MEDICAS 2024'!$I$9:$I$874,B213)</f>
        <v>0</v>
      </c>
      <c r="X213" s="30">
        <f>COUNTIFS('AT. MEDICAS 2024'!$A$9:$A$874,"22/09/2025",'AT. MEDICAS 2024'!$I$9:$I$874,B213)</f>
        <v>0</v>
      </c>
      <c r="Y213" s="30">
        <f>COUNTIFS('AT. MEDICAS 2024'!$A$9:$A$874,"23/09/2025",'AT. MEDICAS 2024'!$I$9:$I$874,B213)</f>
        <v>0</v>
      </c>
      <c r="Z213" s="30">
        <f>COUNTIFS('AT. MEDICAS 2024'!$A$9:$A$874,"24/09/2025",'AT. MEDICAS 2024'!$I$9:$I$874,B213)</f>
        <v>0</v>
      </c>
      <c r="AA213" s="30">
        <f>COUNTIFS('AT. MEDICAS 2024'!$A$9:$A$874,"25/09/2025",'AT. MEDICAS 2024'!$I$9:$I$874,B213)</f>
        <v>0</v>
      </c>
      <c r="AB213" s="30">
        <f>COUNTIFS('AT. MEDICAS 2024'!$A$9:$A$874,"26/09/2025",'AT. MEDICAS 2024'!$I$9:$I$874,B213)</f>
        <v>0</v>
      </c>
      <c r="AC213" s="30">
        <f>COUNTIFS('AT. MEDICAS 2024'!$A$9:$A$874,"27/09/2025",'AT. MEDICAS 2024'!$I$9:$I$874,B213)</f>
        <v>0</v>
      </c>
      <c r="AD213" s="30">
        <f>COUNTIFS('AT. MEDICAS 2024'!$A$9:$A$874,"28/09/2025",'AT. MEDICAS 2024'!$I$9:$I$874,B213)</f>
        <v>0</v>
      </c>
      <c r="AE213" s="30">
        <f>COUNTIFS('AT. MEDICAS 2024'!$A$9:$A$874,"29/09/2025",'AT. MEDICAS 2024'!$I$9:$I$874,B213)</f>
        <v>0</v>
      </c>
      <c r="AF213" s="30">
        <f>COUNTIFS('AT. MEDICAS 2024'!$A$9:$A$874,"30/09/2025",'AT. MEDICAS 2024'!$I$9:$I$874,B213)</f>
        <v>0</v>
      </c>
      <c r="AG213" s="30"/>
      <c r="AH213" s="55">
        <f t="shared" si="27"/>
        <v>0</v>
      </c>
    </row>
    <row r="214" spans="1:34" ht="13.8" thickBot="1" x14ac:dyDescent="0.3">
      <c r="A214" s="41">
        <v>4</v>
      </c>
      <c r="B214" s="54" t="s">
        <v>50</v>
      </c>
      <c r="C214" s="30">
        <f>COUNTIFS('AT. MEDICAS 2024'!$A$9:$A$874,"01/09/2025",'AT. MEDICAS 2024'!$I$9:$I$874,B214)</f>
        <v>0</v>
      </c>
      <c r="D214" s="30">
        <f>COUNTIFS('AT. MEDICAS 2024'!$A$9:$A$874,"02/09/2025",'AT. MEDICAS 2024'!$I$9:$I$874,B214)</f>
        <v>0</v>
      </c>
      <c r="E214" s="30">
        <f>COUNTIFS('AT. MEDICAS 2024'!$A$9:$A$874,"03/09/2025",'AT. MEDICAS 2024'!$I$9:$I$874,B214)</f>
        <v>0</v>
      </c>
      <c r="F214" s="30">
        <f>COUNTIFS('AT. MEDICAS 2024'!$A$9:$A$874,"04/09/2025",'AT. MEDICAS 2024'!$I$9:$I$874,B214)</f>
        <v>0</v>
      </c>
      <c r="G214" s="30">
        <f>COUNTIFS('AT. MEDICAS 2024'!$A$9:$A$874,"05/09/2025",'AT. MEDICAS 2024'!$I$9:$I$874,B214)</f>
        <v>0</v>
      </c>
      <c r="H214" s="30">
        <f>COUNTIFS('AT. MEDICAS 2024'!$A$9:$A$874,"06/09/2025",'AT. MEDICAS 2024'!$I$9:$I$874,B214)</f>
        <v>0</v>
      </c>
      <c r="I214" s="30">
        <f>COUNTIFS('AT. MEDICAS 2024'!$A$9:$A$874,"07/09/2025",'AT. MEDICAS 2024'!$I$9:$I$874,B214)</f>
        <v>0</v>
      </c>
      <c r="J214" s="30">
        <f>COUNTIFS('AT. MEDICAS 2024'!$A$9:$A$874,"08/09/2025",'AT. MEDICAS 2024'!$I$9:$I$874,B214)</f>
        <v>0</v>
      </c>
      <c r="K214" s="30">
        <f>COUNTIFS('AT. MEDICAS 2024'!$A$9:$A$874,"09/09/2025",'AT. MEDICAS 2024'!$I$9:$I$874,B214)</f>
        <v>0</v>
      </c>
      <c r="L214" s="30">
        <f>COUNTIFS('AT. MEDICAS 2024'!$A$9:$A$874,"10/09/2025",'AT. MEDICAS 2024'!$I$9:$I$874,B214)</f>
        <v>0</v>
      </c>
      <c r="M214" s="30">
        <f>COUNTIFS('AT. MEDICAS 2024'!$A$9:$A$874,"11/09/2025",'AT. MEDICAS 2024'!$I$9:$I$874,B214)</f>
        <v>0</v>
      </c>
      <c r="N214" s="30">
        <f>COUNTIFS('AT. MEDICAS 2024'!$A$9:$A$874,"12/09/2025",'AT. MEDICAS 2024'!$I$9:$I$874,B214)</f>
        <v>0</v>
      </c>
      <c r="O214" s="30">
        <f>COUNTIFS('AT. MEDICAS 2024'!$A$9:$A$874,"13/09/2025",'AT. MEDICAS 2024'!$I$9:$I$874,B214)</f>
        <v>0</v>
      </c>
      <c r="P214" s="30">
        <f>COUNTIFS('AT. MEDICAS 2024'!$A$9:$A$874,"14/09/2025",'AT. MEDICAS 2024'!$I$9:$I$874,B214)</f>
        <v>0</v>
      </c>
      <c r="Q214" s="30">
        <f>COUNTIFS('AT. MEDICAS 2024'!$A$9:$A$874,"15/09/2025",'AT. MEDICAS 2024'!$I$9:$I$874,B214)</f>
        <v>0</v>
      </c>
      <c r="R214" s="30">
        <f>COUNTIFS('AT. MEDICAS 2024'!$A$9:$A$874,"16/09/2025",'AT. MEDICAS 2024'!$I$9:$I$874,B214)</f>
        <v>0</v>
      </c>
      <c r="S214" s="30">
        <f>COUNTIFS('AT. MEDICAS 2024'!$A$9:$A$874,"17/09/2025",'AT. MEDICAS 2024'!$I$9:$I$874,B214)</f>
        <v>0</v>
      </c>
      <c r="T214" s="30">
        <f>COUNTIFS('AT. MEDICAS 2024'!$A$9:$A$874,"18/09/2025",'AT. MEDICAS 2024'!$I$9:$I$874,B214)</f>
        <v>0</v>
      </c>
      <c r="U214" s="30">
        <f>COUNTIFS('AT. MEDICAS 2024'!$A$9:$A$874,"19/09/2025",'AT. MEDICAS 2024'!$I$9:$I$874,B214)</f>
        <v>0</v>
      </c>
      <c r="V214" s="30">
        <f>COUNTIFS('AT. MEDICAS 2024'!$A$9:$A$874,"20/09/2025",'AT. MEDICAS 2024'!$I$9:$I$874,B214)</f>
        <v>0</v>
      </c>
      <c r="W214" s="30">
        <f>COUNTIFS('AT. MEDICAS 2024'!$A$9:$A$874,"21/09/2025",'AT. MEDICAS 2024'!$I$9:$I$874,B214)</f>
        <v>0</v>
      </c>
      <c r="X214" s="30">
        <f>COUNTIFS('AT. MEDICAS 2024'!$A$9:$A$874,"22/09/2025",'AT. MEDICAS 2024'!$I$9:$I$874,B214)</f>
        <v>0</v>
      </c>
      <c r="Y214" s="30">
        <f>COUNTIFS('AT. MEDICAS 2024'!$A$9:$A$874,"23/09/2025",'AT. MEDICAS 2024'!$I$9:$I$874,B214)</f>
        <v>0</v>
      </c>
      <c r="Z214" s="30">
        <f>COUNTIFS('AT. MEDICAS 2024'!$A$9:$A$874,"24/09/2025",'AT. MEDICAS 2024'!$I$9:$I$874,B214)</f>
        <v>0</v>
      </c>
      <c r="AA214" s="30">
        <f>COUNTIFS('AT. MEDICAS 2024'!$A$9:$A$874,"25/09/2025",'AT. MEDICAS 2024'!$I$9:$I$874,B214)</f>
        <v>0</v>
      </c>
      <c r="AB214" s="30">
        <f>COUNTIFS('AT. MEDICAS 2024'!$A$9:$A$874,"26/09/2025",'AT. MEDICAS 2024'!$I$9:$I$874,B214)</f>
        <v>0</v>
      </c>
      <c r="AC214" s="30">
        <f>COUNTIFS('AT. MEDICAS 2024'!$A$9:$A$874,"27/09/2025",'AT. MEDICAS 2024'!$I$9:$I$874,B214)</f>
        <v>0</v>
      </c>
      <c r="AD214" s="30">
        <f>COUNTIFS('AT. MEDICAS 2024'!$A$9:$A$874,"28/09/2025",'AT. MEDICAS 2024'!$I$9:$I$874,B214)</f>
        <v>0</v>
      </c>
      <c r="AE214" s="30">
        <f>COUNTIFS('AT. MEDICAS 2024'!$A$9:$A$874,"29/09/2025",'AT. MEDICAS 2024'!$I$9:$I$874,B214)</f>
        <v>0</v>
      </c>
      <c r="AF214" s="30">
        <f>COUNTIFS('AT. MEDICAS 2024'!$A$9:$A$874,"30/09/2025",'AT. MEDICAS 2024'!$I$9:$I$874,B214)</f>
        <v>0</v>
      </c>
      <c r="AG214" s="30"/>
      <c r="AH214" s="55">
        <f t="shared" si="27"/>
        <v>0</v>
      </c>
    </row>
    <row r="215" spans="1:34" ht="13.8" thickBot="1" x14ac:dyDescent="0.3">
      <c r="A215" s="41">
        <v>5</v>
      </c>
      <c r="B215" s="54" t="s">
        <v>187</v>
      </c>
      <c r="C215" s="30">
        <f>COUNTIFS('AT. MEDICAS 2024'!$A$9:$A$874,"01/09/2025",'AT. MEDICAS 2024'!$I$9:$I$874,B215)</f>
        <v>0</v>
      </c>
      <c r="D215" s="30">
        <f>COUNTIFS('AT. MEDICAS 2024'!$A$9:$A$874,"02/09/2025",'AT. MEDICAS 2024'!$I$9:$I$874,B215)</f>
        <v>0</v>
      </c>
      <c r="E215" s="30">
        <f>COUNTIFS('AT. MEDICAS 2024'!$A$9:$A$874,"03/09/2025",'AT. MEDICAS 2024'!$I$9:$I$874,B215)</f>
        <v>0</v>
      </c>
      <c r="F215" s="30">
        <f>COUNTIFS('AT. MEDICAS 2024'!$A$9:$A$874,"04/09/2025",'AT. MEDICAS 2024'!$I$9:$I$874,B215)</f>
        <v>0</v>
      </c>
      <c r="G215" s="30">
        <f>COUNTIFS('AT. MEDICAS 2024'!$A$9:$A$874,"05/09/2025",'AT. MEDICAS 2024'!$I$9:$I$874,B215)</f>
        <v>0</v>
      </c>
      <c r="H215" s="30">
        <f>COUNTIFS('AT. MEDICAS 2024'!$A$9:$A$874,"06/09/2025",'AT. MEDICAS 2024'!$I$9:$I$874,B215)</f>
        <v>0</v>
      </c>
      <c r="I215" s="30">
        <f>COUNTIFS('AT. MEDICAS 2024'!$A$9:$A$874,"07/09/2025",'AT. MEDICAS 2024'!$I$9:$I$874,B215)</f>
        <v>0</v>
      </c>
      <c r="J215" s="30">
        <f>COUNTIFS('AT. MEDICAS 2024'!$A$9:$A$874,"08/09/2025",'AT. MEDICAS 2024'!$I$9:$I$874,B215)</f>
        <v>0</v>
      </c>
      <c r="K215" s="30">
        <f>COUNTIFS('AT. MEDICAS 2024'!$A$9:$A$874,"09/09/2025",'AT. MEDICAS 2024'!$I$9:$I$874,B215)</f>
        <v>0</v>
      </c>
      <c r="L215" s="30">
        <f>COUNTIFS('AT. MEDICAS 2024'!$A$9:$A$874,"10/09/2025",'AT. MEDICAS 2024'!$I$9:$I$874,B215)</f>
        <v>0</v>
      </c>
      <c r="M215" s="30">
        <f>COUNTIFS('AT. MEDICAS 2024'!$A$9:$A$874,"11/09/2025",'AT. MEDICAS 2024'!$I$9:$I$874,B215)</f>
        <v>0</v>
      </c>
      <c r="N215" s="30">
        <f>COUNTIFS('AT. MEDICAS 2024'!$A$9:$A$874,"12/09/2025",'AT. MEDICAS 2024'!$I$9:$I$874,B215)</f>
        <v>0</v>
      </c>
      <c r="O215" s="30">
        <f>COUNTIFS('AT. MEDICAS 2024'!$A$9:$A$874,"13/09/2025",'AT. MEDICAS 2024'!$I$9:$I$874,B215)</f>
        <v>0</v>
      </c>
      <c r="P215" s="30">
        <f>COUNTIFS('AT. MEDICAS 2024'!$A$9:$A$874,"14/09/2025",'AT. MEDICAS 2024'!$I$9:$I$874,B215)</f>
        <v>0</v>
      </c>
      <c r="Q215" s="30">
        <f>COUNTIFS('AT. MEDICAS 2024'!$A$9:$A$874,"15/09/2025",'AT. MEDICAS 2024'!$I$9:$I$874,B215)</f>
        <v>0</v>
      </c>
      <c r="R215" s="30">
        <f>COUNTIFS('AT. MEDICAS 2024'!$A$9:$A$874,"16/09/2025",'AT. MEDICAS 2024'!$I$9:$I$874,B215)</f>
        <v>0</v>
      </c>
      <c r="S215" s="30">
        <f>COUNTIFS('AT. MEDICAS 2024'!$A$9:$A$874,"17/09/2025",'AT. MEDICAS 2024'!$I$9:$I$874,B215)</f>
        <v>0</v>
      </c>
      <c r="T215" s="30">
        <f>COUNTIFS('AT. MEDICAS 2024'!$A$9:$A$874,"18/09/2025",'AT. MEDICAS 2024'!$I$9:$I$874,B215)</f>
        <v>0</v>
      </c>
      <c r="U215" s="30">
        <f>COUNTIFS('AT. MEDICAS 2024'!$A$9:$A$874,"19/09/2025",'AT. MEDICAS 2024'!$I$9:$I$874,B215)</f>
        <v>0</v>
      </c>
      <c r="V215" s="30">
        <f>COUNTIFS('AT. MEDICAS 2024'!$A$9:$A$874,"20/09/2025",'AT. MEDICAS 2024'!$I$9:$I$874,B215)</f>
        <v>0</v>
      </c>
      <c r="W215" s="30">
        <f>COUNTIFS('AT. MEDICAS 2024'!$A$9:$A$874,"21/09/2025",'AT. MEDICAS 2024'!$I$9:$I$874,B215)</f>
        <v>0</v>
      </c>
      <c r="X215" s="30">
        <f>COUNTIFS('AT. MEDICAS 2024'!$A$9:$A$874,"22/09/2025",'AT. MEDICAS 2024'!$I$9:$I$874,B215)</f>
        <v>0</v>
      </c>
      <c r="Y215" s="30">
        <f>COUNTIFS('AT. MEDICAS 2024'!$A$9:$A$874,"23/09/2025",'AT. MEDICAS 2024'!$I$9:$I$874,B215)</f>
        <v>0</v>
      </c>
      <c r="Z215" s="30">
        <f>COUNTIFS('AT. MEDICAS 2024'!$A$9:$A$874,"24/09/2025",'AT. MEDICAS 2024'!$I$9:$I$874,B215)</f>
        <v>0</v>
      </c>
      <c r="AA215" s="30">
        <f>COUNTIFS('AT. MEDICAS 2024'!$A$9:$A$874,"25/09/2025",'AT. MEDICAS 2024'!$I$9:$I$874,B215)</f>
        <v>0</v>
      </c>
      <c r="AB215" s="30">
        <f>COUNTIFS('AT. MEDICAS 2024'!$A$9:$A$874,"26/09/2025",'AT. MEDICAS 2024'!$I$9:$I$874,B215)</f>
        <v>0</v>
      </c>
      <c r="AC215" s="30">
        <f>COUNTIFS('AT. MEDICAS 2024'!$A$9:$A$874,"27/09/2025",'AT. MEDICAS 2024'!$I$9:$I$874,B215)</f>
        <v>0</v>
      </c>
      <c r="AD215" s="30">
        <f>COUNTIFS('AT. MEDICAS 2024'!$A$9:$A$874,"28/09/2025",'AT. MEDICAS 2024'!$I$9:$I$874,B215)</f>
        <v>0</v>
      </c>
      <c r="AE215" s="30">
        <f>COUNTIFS('AT. MEDICAS 2024'!$A$9:$A$874,"29/09/2025",'AT. MEDICAS 2024'!$I$9:$I$874,B215)</f>
        <v>0</v>
      </c>
      <c r="AF215" s="30">
        <f>COUNTIFS('AT. MEDICAS 2024'!$A$9:$A$874,"30/09/2025",'AT. MEDICAS 2024'!$I$9:$I$874,B215)</f>
        <v>0</v>
      </c>
      <c r="AG215" s="30"/>
      <c r="AH215" s="55">
        <f t="shared" si="27"/>
        <v>0</v>
      </c>
    </row>
    <row r="216" spans="1:34" ht="13.8" thickBot="1" x14ac:dyDescent="0.3">
      <c r="A216" s="41">
        <v>6</v>
      </c>
      <c r="B216" s="54" t="s">
        <v>46</v>
      </c>
      <c r="C216" s="30">
        <f>COUNTIFS('AT. MEDICAS 2024'!$A$9:$A$874,"01/09/2025",'AT. MEDICAS 2024'!$I$9:$I$874,B216)</f>
        <v>0</v>
      </c>
      <c r="D216" s="30">
        <f>COUNTIFS('AT. MEDICAS 2024'!$A$9:$A$874,"02/09/2025",'AT. MEDICAS 2024'!$I$9:$I$874,B216)</f>
        <v>0</v>
      </c>
      <c r="E216" s="30">
        <f>COUNTIFS('AT. MEDICAS 2024'!$A$9:$A$874,"03/09/2025",'AT. MEDICAS 2024'!$I$9:$I$874,B216)</f>
        <v>0</v>
      </c>
      <c r="F216" s="30">
        <f>COUNTIFS('AT. MEDICAS 2024'!$A$9:$A$874,"04/09/2025",'AT. MEDICAS 2024'!$I$9:$I$874,B216)</f>
        <v>0</v>
      </c>
      <c r="G216" s="30">
        <f>COUNTIFS('AT. MEDICAS 2024'!$A$9:$A$874,"05/09/2025",'AT. MEDICAS 2024'!$I$9:$I$874,B216)</f>
        <v>0</v>
      </c>
      <c r="H216" s="30">
        <f>COUNTIFS('AT. MEDICAS 2024'!$A$9:$A$874,"06/09/2025",'AT. MEDICAS 2024'!$I$9:$I$874,B216)</f>
        <v>0</v>
      </c>
      <c r="I216" s="30">
        <f>COUNTIFS('AT. MEDICAS 2024'!$A$9:$A$874,"07/09/2025",'AT. MEDICAS 2024'!$I$9:$I$874,B216)</f>
        <v>0</v>
      </c>
      <c r="J216" s="30">
        <f>COUNTIFS('AT. MEDICAS 2024'!$A$9:$A$874,"08/09/2025",'AT. MEDICAS 2024'!$I$9:$I$874,B216)</f>
        <v>0</v>
      </c>
      <c r="K216" s="30">
        <f>COUNTIFS('AT. MEDICAS 2024'!$A$9:$A$874,"09/09/2025",'AT. MEDICAS 2024'!$I$9:$I$874,B216)</f>
        <v>0</v>
      </c>
      <c r="L216" s="30">
        <f>COUNTIFS('AT. MEDICAS 2024'!$A$9:$A$874,"10/09/2025",'AT. MEDICAS 2024'!$I$9:$I$874,B216)</f>
        <v>0</v>
      </c>
      <c r="M216" s="30">
        <f>COUNTIFS('AT. MEDICAS 2024'!$A$9:$A$874,"11/09/2025",'AT. MEDICAS 2024'!$I$9:$I$874,B216)</f>
        <v>0</v>
      </c>
      <c r="N216" s="30">
        <f>COUNTIFS('AT. MEDICAS 2024'!$A$9:$A$874,"12/09/2025",'AT. MEDICAS 2024'!$I$9:$I$874,B216)</f>
        <v>0</v>
      </c>
      <c r="O216" s="30">
        <f>COUNTIFS('AT. MEDICAS 2024'!$A$9:$A$874,"13/09/2025",'AT. MEDICAS 2024'!$I$9:$I$874,B216)</f>
        <v>0</v>
      </c>
      <c r="P216" s="30">
        <f>COUNTIFS('AT. MEDICAS 2024'!$A$9:$A$874,"14/09/2025",'AT. MEDICAS 2024'!$I$9:$I$874,B216)</f>
        <v>0</v>
      </c>
      <c r="Q216" s="30">
        <f>COUNTIFS('AT. MEDICAS 2024'!$A$9:$A$874,"15/09/2025",'AT. MEDICAS 2024'!$I$9:$I$874,B216)</f>
        <v>0</v>
      </c>
      <c r="R216" s="30">
        <f>COUNTIFS('AT. MEDICAS 2024'!$A$9:$A$874,"16/09/2025",'AT. MEDICAS 2024'!$I$9:$I$874,B216)</f>
        <v>0</v>
      </c>
      <c r="S216" s="30">
        <f>COUNTIFS('AT. MEDICAS 2024'!$A$9:$A$874,"17/09/2025",'AT. MEDICAS 2024'!$I$9:$I$874,B216)</f>
        <v>0</v>
      </c>
      <c r="T216" s="30">
        <f>COUNTIFS('AT. MEDICAS 2024'!$A$9:$A$874,"18/09/2025",'AT. MEDICAS 2024'!$I$9:$I$874,B216)</f>
        <v>0</v>
      </c>
      <c r="U216" s="30">
        <f>COUNTIFS('AT. MEDICAS 2024'!$A$9:$A$874,"19/09/2025",'AT. MEDICAS 2024'!$I$9:$I$874,B216)</f>
        <v>0</v>
      </c>
      <c r="V216" s="30">
        <f>COUNTIFS('AT. MEDICAS 2024'!$A$9:$A$874,"20/09/2025",'AT. MEDICAS 2024'!$I$9:$I$874,B216)</f>
        <v>0</v>
      </c>
      <c r="W216" s="30">
        <f>COUNTIFS('AT. MEDICAS 2024'!$A$9:$A$874,"21/09/2025",'AT. MEDICAS 2024'!$I$9:$I$874,B216)</f>
        <v>0</v>
      </c>
      <c r="X216" s="30">
        <f>COUNTIFS('AT. MEDICAS 2024'!$A$9:$A$874,"22/09/2025",'AT. MEDICAS 2024'!$I$9:$I$874,B216)</f>
        <v>0</v>
      </c>
      <c r="Y216" s="30">
        <f>COUNTIFS('AT. MEDICAS 2024'!$A$9:$A$874,"23/09/2025",'AT. MEDICAS 2024'!$I$9:$I$874,B216)</f>
        <v>0</v>
      </c>
      <c r="Z216" s="30">
        <f>COUNTIFS('AT. MEDICAS 2024'!$A$9:$A$874,"24/09/2025",'AT. MEDICAS 2024'!$I$9:$I$874,B216)</f>
        <v>0</v>
      </c>
      <c r="AA216" s="30">
        <f>COUNTIFS('AT. MEDICAS 2024'!$A$9:$A$874,"25/09/2025",'AT. MEDICAS 2024'!$I$9:$I$874,B216)</f>
        <v>0</v>
      </c>
      <c r="AB216" s="30">
        <f>COUNTIFS('AT. MEDICAS 2024'!$A$9:$A$874,"26/09/2025",'AT. MEDICAS 2024'!$I$9:$I$874,B216)</f>
        <v>0</v>
      </c>
      <c r="AC216" s="30">
        <f>COUNTIFS('AT. MEDICAS 2024'!$A$9:$A$874,"27/09/2025",'AT. MEDICAS 2024'!$I$9:$I$874,B216)</f>
        <v>0</v>
      </c>
      <c r="AD216" s="30">
        <f>COUNTIFS('AT. MEDICAS 2024'!$A$9:$A$874,"28/09/2025",'AT. MEDICAS 2024'!$I$9:$I$874,B216)</f>
        <v>0</v>
      </c>
      <c r="AE216" s="30">
        <f>COUNTIFS('AT. MEDICAS 2024'!$A$9:$A$874,"29/09/2025",'AT. MEDICAS 2024'!$I$9:$I$874,B216)</f>
        <v>0</v>
      </c>
      <c r="AF216" s="30">
        <f>COUNTIFS('AT. MEDICAS 2024'!$A$9:$A$874,"30/09/2025",'AT. MEDICAS 2024'!$I$9:$I$874,B216)</f>
        <v>0</v>
      </c>
      <c r="AG216" s="30"/>
      <c r="AH216" s="55">
        <f t="shared" si="27"/>
        <v>0</v>
      </c>
    </row>
    <row r="217" spans="1:34" ht="13.8" thickBot="1" x14ac:dyDescent="0.3">
      <c r="A217" s="41">
        <v>7</v>
      </c>
      <c r="B217" s="54" t="s">
        <v>36</v>
      </c>
      <c r="C217" s="30">
        <f>COUNTIFS('AT. MEDICAS 2024'!$A$9:$A$874,"01/09/2025",'AT. MEDICAS 2024'!$I$9:$I$874,B217)</f>
        <v>0</v>
      </c>
      <c r="D217" s="30">
        <f>COUNTIFS('AT. MEDICAS 2024'!$A$9:$A$874,"02/09/2025",'AT. MEDICAS 2024'!$I$9:$I$874,B217)</f>
        <v>0</v>
      </c>
      <c r="E217" s="30">
        <f>COUNTIFS('AT. MEDICAS 2024'!$A$9:$A$874,"03/09/2025",'AT. MEDICAS 2024'!$I$9:$I$874,B217)</f>
        <v>0</v>
      </c>
      <c r="F217" s="30">
        <f>COUNTIFS('AT. MEDICAS 2024'!$A$9:$A$874,"04/09/2025",'AT. MEDICAS 2024'!$I$9:$I$874,B217)</f>
        <v>0</v>
      </c>
      <c r="G217" s="30">
        <f>COUNTIFS('AT. MEDICAS 2024'!$A$9:$A$874,"05/09/2025",'AT. MEDICAS 2024'!$I$9:$I$874,B217)</f>
        <v>0</v>
      </c>
      <c r="H217" s="30">
        <f>COUNTIFS('AT. MEDICAS 2024'!$A$9:$A$874,"06/09/2025",'AT. MEDICAS 2024'!$I$9:$I$874,B217)</f>
        <v>0</v>
      </c>
      <c r="I217" s="30">
        <f>COUNTIFS('AT. MEDICAS 2024'!$A$9:$A$874,"07/09/2025",'AT. MEDICAS 2024'!$I$9:$I$874,B217)</f>
        <v>0</v>
      </c>
      <c r="J217" s="30">
        <f>COUNTIFS('AT. MEDICAS 2024'!$A$9:$A$874,"08/09/2025",'AT. MEDICAS 2024'!$I$9:$I$874,B217)</f>
        <v>0</v>
      </c>
      <c r="K217" s="30">
        <f>COUNTIFS('AT. MEDICAS 2024'!$A$9:$A$874,"09/09/2025",'AT. MEDICAS 2024'!$I$9:$I$874,B217)</f>
        <v>0</v>
      </c>
      <c r="L217" s="30">
        <f>COUNTIFS('AT. MEDICAS 2024'!$A$9:$A$874,"10/09/2025",'AT. MEDICAS 2024'!$I$9:$I$874,B217)</f>
        <v>0</v>
      </c>
      <c r="M217" s="30">
        <f>COUNTIFS('AT. MEDICAS 2024'!$A$9:$A$874,"11/09/2025",'AT. MEDICAS 2024'!$I$9:$I$874,B217)</f>
        <v>0</v>
      </c>
      <c r="N217" s="30">
        <f>COUNTIFS('AT. MEDICAS 2024'!$A$9:$A$874,"12/09/2025",'AT. MEDICAS 2024'!$I$9:$I$874,B217)</f>
        <v>0</v>
      </c>
      <c r="O217" s="30">
        <f>COUNTIFS('AT. MEDICAS 2024'!$A$9:$A$874,"13/09/2025",'AT. MEDICAS 2024'!$I$9:$I$874,B217)</f>
        <v>0</v>
      </c>
      <c r="P217" s="30">
        <f>COUNTIFS('AT. MEDICAS 2024'!$A$9:$A$874,"14/09/2025",'AT. MEDICAS 2024'!$I$9:$I$874,B217)</f>
        <v>0</v>
      </c>
      <c r="Q217" s="30">
        <f>COUNTIFS('AT. MEDICAS 2024'!$A$9:$A$874,"15/09/2025",'AT. MEDICAS 2024'!$I$9:$I$874,B217)</f>
        <v>0</v>
      </c>
      <c r="R217" s="30">
        <f>COUNTIFS('AT. MEDICAS 2024'!$A$9:$A$874,"16/09/2025",'AT. MEDICAS 2024'!$I$9:$I$874,B217)</f>
        <v>0</v>
      </c>
      <c r="S217" s="30">
        <f>COUNTIFS('AT. MEDICAS 2024'!$A$9:$A$874,"17/09/2025",'AT. MEDICAS 2024'!$I$9:$I$874,B217)</f>
        <v>0</v>
      </c>
      <c r="T217" s="30">
        <f>COUNTIFS('AT. MEDICAS 2024'!$A$9:$A$874,"18/09/2025",'AT. MEDICAS 2024'!$I$9:$I$874,B217)</f>
        <v>0</v>
      </c>
      <c r="U217" s="30">
        <f>COUNTIFS('AT. MEDICAS 2024'!$A$9:$A$874,"19/09/2025",'AT. MEDICAS 2024'!$I$9:$I$874,B217)</f>
        <v>0</v>
      </c>
      <c r="V217" s="30">
        <f>COUNTIFS('AT. MEDICAS 2024'!$A$9:$A$874,"20/09/2025",'AT. MEDICAS 2024'!$I$9:$I$874,B217)</f>
        <v>0</v>
      </c>
      <c r="W217" s="30">
        <f>COUNTIFS('AT. MEDICAS 2024'!$A$9:$A$874,"21/09/2025",'AT. MEDICAS 2024'!$I$9:$I$874,B217)</f>
        <v>0</v>
      </c>
      <c r="X217" s="30">
        <f>COUNTIFS('AT. MEDICAS 2024'!$A$9:$A$874,"22/09/2025",'AT. MEDICAS 2024'!$I$9:$I$874,B217)</f>
        <v>0</v>
      </c>
      <c r="Y217" s="30">
        <f>COUNTIFS('AT. MEDICAS 2024'!$A$9:$A$874,"23/09/2025",'AT. MEDICAS 2024'!$I$9:$I$874,B217)</f>
        <v>0</v>
      </c>
      <c r="Z217" s="30">
        <f>COUNTIFS('AT. MEDICAS 2024'!$A$9:$A$874,"24/09/2025",'AT. MEDICAS 2024'!$I$9:$I$874,B217)</f>
        <v>0</v>
      </c>
      <c r="AA217" s="30">
        <f>COUNTIFS('AT. MEDICAS 2024'!$A$9:$A$874,"25/09/2025",'AT. MEDICAS 2024'!$I$9:$I$874,B217)</f>
        <v>0</v>
      </c>
      <c r="AB217" s="30">
        <f>COUNTIFS('AT. MEDICAS 2024'!$A$9:$A$874,"26/09/2025",'AT. MEDICAS 2024'!$I$9:$I$874,B217)</f>
        <v>0</v>
      </c>
      <c r="AC217" s="30">
        <f>COUNTIFS('AT. MEDICAS 2024'!$A$9:$A$874,"27/09/2025",'AT. MEDICAS 2024'!$I$9:$I$874,B217)</f>
        <v>0</v>
      </c>
      <c r="AD217" s="30">
        <f>COUNTIFS('AT. MEDICAS 2024'!$A$9:$A$874,"28/09/2025",'AT. MEDICAS 2024'!$I$9:$I$874,B217)</f>
        <v>0</v>
      </c>
      <c r="AE217" s="30">
        <f>COUNTIFS('AT. MEDICAS 2024'!$A$9:$A$874,"29/09/2025",'AT. MEDICAS 2024'!$I$9:$I$874,B217)</f>
        <v>0</v>
      </c>
      <c r="AF217" s="30">
        <f>COUNTIFS('AT. MEDICAS 2024'!$A$9:$A$874,"30/09/2025",'AT. MEDICAS 2024'!$I$9:$I$874,B217)</f>
        <v>0</v>
      </c>
      <c r="AG217" s="30"/>
      <c r="AH217" s="55">
        <f t="shared" si="27"/>
        <v>0</v>
      </c>
    </row>
    <row r="218" spans="1:34" ht="13.8" thickBot="1" x14ac:dyDescent="0.3">
      <c r="A218" s="41">
        <v>8</v>
      </c>
      <c r="B218" s="54" t="s">
        <v>92</v>
      </c>
      <c r="C218" s="30">
        <f>COUNTIFS('AT. MEDICAS 2024'!$A$9:$A$874,"01/09/2025",'AT. MEDICAS 2024'!$I$9:$I$874,B218)</f>
        <v>0</v>
      </c>
      <c r="D218" s="30">
        <f>COUNTIFS('AT. MEDICAS 2024'!$A$9:$A$874,"02/09/2025",'AT. MEDICAS 2024'!$I$9:$I$874,B218)</f>
        <v>0</v>
      </c>
      <c r="E218" s="30">
        <f>COUNTIFS('AT. MEDICAS 2024'!$A$9:$A$874,"03/09/2025",'AT. MEDICAS 2024'!$I$9:$I$874,B218)</f>
        <v>0</v>
      </c>
      <c r="F218" s="30">
        <f>COUNTIFS('AT. MEDICAS 2024'!$A$9:$A$874,"04/09/2025",'AT. MEDICAS 2024'!$I$9:$I$874,B218)</f>
        <v>0</v>
      </c>
      <c r="G218" s="30">
        <f>COUNTIFS('AT. MEDICAS 2024'!$A$9:$A$874,"05/09/2025",'AT. MEDICAS 2024'!$I$9:$I$874,B218)</f>
        <v>0</v>
      </c>
      <c r="H218" s="30">
        <f>COUNTIFS('AT. MEDICAS 2024'!$A$9:$A$874,"06/09/2025",'AT. MEDICAS 2024'!$I$9:$I$874,B218)</f>
        <v>0</v>
      </c>
      <c r="I218" s="30">
        <f>COUNTIFS('AT. MEDICAS 2024'!$A$9:$A$874,"07/09/2025",'AT. MEDICAS 2024'!$I$9:$I$874,B218)</f>
        <v>0</v>
      </c>
      <c r="J218" s="30">
        <f>COUNTIFS('AT. MEDICAS 2024'!$A$9:$A$874,"08/09/2025",'AT. MEDICAS 2024'!$I$9:$I$874,B218)</f>
        <v>0</v>
      </c>
      <c r="K218" s="30">
        <f>COUNTIFS('AT. MEDICAS 2024'!$A$9:$A$874,"09/09/2025",'AT. MEDICAS 2024'!$I$9:$I$874,B218)</f>
        <v>0</v>
      </c>
      <c r="L218" s="30">
        <f>COUNTIFS('AT. MEDICAS 2024'!$A$9:$A$874,"10/09/2025",'AT. MEDICAS 2024'!$I$9:$I$874,B218)</f>
        <v>0</v>
      </c>
      <c r="M218" s="30">
        <f>COUNTIFS('AT. MEDICAS 2024'!$A$9:$A$874,"11/09/2025",'AT. MEDICAS 2024'!$I$9:$I$874,B218)</f>
        <v>0</v>
      </c>
      <c r="N218" s="30">
        <f>COUNTIFS('AT. MEDICAS 2024'!$A$9:$A$874,"12/09/2025",'AT. MEDICAS 2024'!$I$9:$I$874,B218)</f>
        <v>0</v>
      </c>
      <c r="O218" s="30">
        <f>COUNTIFS('AT. MEDICAS 2024'!$A$9:$A$874,"13/09/2025",'AT. MEDICAS 2024'!$I$9:$I$874,B218)</f>
        <v>0</v>
      </c>
      <c r="P218" s="30">
        <f>COUNTIFS('AT. MEDICAS 2024'!$A$9:$A$874,"14/09/2025",'AT. MEDICAS 2024'!$I$9:$I$874,B218)</f>
        <v>0</v>
      </c>
      <c r="Q218" s="30">
        <f>COUNTIFS('AT. MEDICAS 2024'!$A$9:$A$874,"15/09/2025",'AT. MEDICAS 2024'!$I$9:$I$874,B218)</f>
        <v>0</v>
      </c>
      <c r="R218" s="30">
        <f>COUNTIFS('AT. MEDICAS 2024'!$A$9:$A$874,"16/09/2025",'AT. MEDICAS 2024'!$I$9:$I$874,B218)</f>
        <v>0</v>
      </c>
      <c r="S218" s="30">
        <f>COUNTIFS('AT. MEDICAS 2024'!$A$9:$A$874,"17/09/2025",'AT. MEDICAS 2024'!$I$9:$I$874,B218)</f>
        <v>0</v>
      </c>
      <c r="T218" s="30">
        <f>COUNTIFS('AT. MEDICAS 2024'!$A$9:$A$874,"18/09/2025",'AT. MEDICAS 2024'!$I$9:$I$874,B218)</f>
        <v>0</v>
      </c>
      <c r="U218" s="30">
        <f>COUNTIFS('AT. MEDICAS 2024'!$A$9:$A$874,"19/09/2025",'AT. MEDICAS 2024'!$I$9:$I$874,B218)</f>
        <v>0</v>
      </c>
      <c r="V218" s="30">
        <f>COUNTIFS('AT. MEDICAS 2024'!$A$9:$A$874,"20/09/2025",'AT. MEDICAS 2024'!$I$9:$I$874,B218)</f>
        <v>0</v>
      </c>
      <c r="W218" s="30">
        <f>COUNTIFS('AT. MEDICAS 2024'!$A$9:$A$874,"21/09/2025",'AT. MEDICAS 2024'!$I$9:$I$874,B218)</f>
        <v>0</v>
      </c>
      <c r="X218" s="30">
        <f>COUNTIFS('AT. MEDICAS 2024'!$A$9:$A$874,"22/09/2025",'AT. MEDICAS 2024'!$I$9:$I$874,B218)</f>
        <v>0</v>
      </c>
      <c r="Y218" s="30">
        <f>COUNTIFS('AT. MEDICAS 2024'!$A$9:$A$874,"23/09/2025",'AT. MEDICAS 2024'!$I$9:$I$874,B218)</f>
        <v>0</v>
      </c>
      <c r="Z218" s="30">
        <f>COUNTIFS('AT. MEDICAS 2024'!$A$9:$A$874,"24/09/2025",'AT. MEDICAS 2024'!$I$9:$I$874,B218)</f>
        <v>0</v>
      </c>
      <c r="AA218" s="30">
        <f>COUNTIFS('AT. MEDICAS 2024'!$A$9:$A$874,"25/09/2025",'AT. MEDICAS 2024'!$I$9:$I$874,B218)</f>
        <v>0</v>
      </c>
      <c r="AB218" s="30">
        <f>COUNTIFS('AT. MEDICAS 2024'!$A$9:$A$874,"26/09/2025",'AT. MEDICAS 2024'!$I$9:$I$874,B218)</f>
        <v>0</v>
      </c>
      <c r="AC218" s="30">
        <f>COUNTIFS('AT. MEDICAS 2024'!$A$9:$A$874,"27/09/2025",'AT. MEDICAS 2024'!$I$9:$I$874,B218)</f>
        <v>0</v>
      </c>
      <c r="AD218" s="30">
        <f>COUNTIFS('AT. MEDICAS 2024'!$A$9:$A$874,"28/09/2025",'AT. MEDICAS 2024'!$I$9:$I$874,B218)</f>
        <v>0</v>
      </c>
      <c r="AE218" s="30">
        <f>COUNTIFS('AT. MEDICAS 2024'!$A$9:$A$874,"29/09/2025",'AT. MEDICAS 2024'!$I$9:$I$874,B218)</f>
        <v>0</v>
      </c>
      <c r="AF218" s="30">
        <f>COUNTIFS('AT. MEDICAS 2024'!$A$9:$A$874,"30/09/2025",'AT. MEDICAS 2024'!$I$9:$I$874,B218)</f>
        <v>0</v>
      </c>
      <c r="AG218" s="30"/>
      <c r="AH218" s="55">
        <f t="shared" si="27"/>
        <v>0</v>
      </c>
    </row>
    <row r="219" spans="1:34" ht="13.8" thickBot="1" x14ac:dyDescent="0.3">
      <c r="A219" s="41">
        <v>9</v>
      </c>
      <c r="B219" s="54" t="s">
        <v>188</v>
      </c>
      <c r="C219" s="30">
        <f>COUNTIFS('AT. MEDICAS 2024'!$A$9:$A$874,"01/09/2025",'AT. MEDICAS 2024'!$I$9:$I$874,B219)</f>
        <v>0</v>
      </c>
      <c r="D219" s="30">
        <f>COUNTIFS('AT. MEDICAS 2024'!$A$9:$A$874,"02/09/2025",'AT. MEDICAS 2024'!$I$9:$I$874,B219)</f>
        <v>0</v>
      </c>
      <c r="E219" s="30">
        <f>COUNTIFS('AT. MEDICAS 2024'!$A$9:$A$874,"03/09/2025",'AT. MEDICAS 2024'!$I$9:$I$874,B219)</f>
        <v>0</v>
      </c>
      <c r="F219" s="30">
        <f>COUNTIFS('AT. MEDICAS 2024'!$A$9:$A$874,"04/09/2025",'AT. MEDICAS 2024'!$I$9:$I$874,B219)</f>
        <v>0</v>
      </c>
      <c r="G219" s="30">
        <f>COUNTIFS('AT. MEDICAS 2024'!$A$9:$A$874,"05/09/2025",'AT. MEDICAS 2024'!$I$9:$I$874,B219)</f>
        <v>0</v>
      </c>
      <c r="H219" s="30">
        <f>COUNTIFS('AT. MEDICAS 2024'!$A$9:$A$874,"06/09/2025",'AT. MEDICAS 2024'!$I$9:$I$874,B219)</f>
        <v>0</v>
      </c>
      <c r="I219" s="30">
        <f>COUNTIFS('AT. MEDICAS 2024'!$A$9:$A$874,"07/09/2025",'AT. MEDICAS 2024'!$I$9:$I$874,B219)</f>
        <v>0</v>
      </c>
      <c r="J219" s="30">
        <f>COUNTIFS('AT. MEDICAS 2024'!$A$9:$A$874,"08/09/2025",'AT. MEDICAS 2024'!$I$9:$I$874,B219)</f>
        <v>0</v>
      </c>
      <c r="K219" s="30">
        <f>COUNTIFS('AT. MEDICAS 2024'!$A$9:$A$874,"09/09/2025",'AT. MEDICAS 2024'!$I$9:$I$874,B219)</f>
        <v>0</v>
      </c>
      <c r="L219" s="30">
        <f>COUNTIFS('AT. MEDICAS 2024'!$A$9:$A$874,"10/09/2025",'AT. MEDICAS 2024'!$I$9:$I$874,B219)</f>
        <v>0</v>
      </c>
      <c r="M219" s="30">
        <f>COUNTIFS('AT. MEDICAS 2024'!$A$9:$A$874,"11/09/2025",'AT. MEDICAS 2024'!$I$9:$I$874,B219)</f>
        <v>0</v>
      </c>
      <c r="N219" s="30">
        <f>COUNTIFS('AT. MEDICAS 2024'!$A$9:$A$874,"12/09/2025",'AT. MEDICAS 2024'!$I$9:$I$874,B219)</f>
        <v>0</v>
      </c>
      <c r="O219" s="30">
        <f>COUNTIFS('AT. MEDICAS 2024'!$A$9:$A$874,"13/09/2025",'AT. MEDICAS 2024'!$I$9:$I$874,B219)</f>
        <v>0</v>
      </c>
      <c r="P219" s="30">
        <f>COUNTIFS('AT. MEDICAS 2024'!$A$9:$A$874,"14/09/2025",'AT. MEDICAS 2024'!$I$9:$I$874,B219)</f>
        <v>0</v>
      </c>
      <c r="Q219" s="30">
        <f>COUNTIFS('AT. MEDICAS 2024'!$A$9:$A$874,"15/09/2025",'AT. MEDICAS 2024'!$I$9:$I$874,B219)</f>
        <v>0</v>
      </c>
      <c r="R219" s="30">
        <f>COUNTIFS('AT. MEDICAS 2024'!$A$9:$A$874,"16/09/2025",'AT. MEDICAS 2024'!$I$9:$I$874,B219)</f>
        <v>0</v>
      </c>
      <c r="S219" s="30">
        <f>COUNTIFS('AT. MEDICAS 2024'!$A$9:$A$874,"17/09/2025",'AT. MEDICAS 2024'!$I$9:$I$874,B219)</f>
        <v>0</v>
      </c>
      <c r="T219" s="30">
        <f>COUNTIFS('AT. MEDICAS 2024'!$A$9:$A$874,"18/09/2025",'AT. MEDICAS 2024'!$I$9:$I$874,B219)</f>
        <v>0</v>
      </c>
      <c r="U219" s="30">
        <f>COUNTIFS('AT. MEDICAS 2024'!$A$9:$A$874,"19/09/2025",'AT. MEDICAS 2024'!$I$9:$I$874,B219)</f>
        <v>0</v>
      </c>
      <c r="V219" s="30">
        <f>COUNTIFS('AT. MEDICAS 2024'!$A$9:$A$874,"20/09/2025",'AT. MEDICAS 2024'!$I$9:$I$874,B219)</f>
        <v>0</v>
      </c>
      <c r="W219" s="30">
        <f>COUNTIFS('AT. MEDICAS 2024'!$A$9:$A$874,"21/09/2025",'AT. MEDICAS 2024'!$I$9:$I$874,B219)</f>
        <v>0</v>
      </c>
      <c r="X219" s="30">
        <f>COUNTIFS('AT. MEDICAS 2024'!$A$9:$A$874,"22/09/2025",'AT. MEDICAS 2024'!$I$9:$I$874,B219)</f>
        <v>0</v>
      </c>
      <c r="Y219" s="30">
        <f>COUNTIFS('AT. MEDICAS 2024'!$A$9:$A$874,"23/09/2025",'AT. MEDICAS 2024'!$I$9:$I$874,B219)</f>
        <v>0</v>
      </c>
      <c r="Z219" s="30">
        <f>COUNTIFS('AT. MEDICAS 2024'!$A$9:$A$874,"24/09/2025",'AT. MEDICAS 2024'!$I$9:$I$874,B219)</f>
        <v>0</v>
      </c>
      <c r="AA219" s="30">
        <f>COUNTIFS('AT. MEDICAS 2024'!$A$9:$A$874,"25/09/2025",'AT. MEDICAS 2024'!$I$9:$I$874,B219)</f>
        <v>0</v>
      </c>
      <c r="AB219" s="30">
        <f>COUNTIFS('AT. MEDICAS 2024'!$A$9:$A$874,"26/09/2025",'AT. MEDICAS 2024'!$I$9:$I$874,B219)</f>
        <v>0</v>
      </c>
      <c r="AC219" s="30">
        <f>COUNTIFS('AT. MEDICAS 2024'!$A$9:$A$874,"27/09/2025",'AT. MEDICAS 2024'!$I$9:$I$874,B219)</f>
        <v>0</v>
      </c>
      <c r="AD219" s="30">
        <f>COUNTIFS('AT. MEDICAS 2024'!$A$9:$A$874,"28/09/2025",'AT. MEDICAS 2024'!$I$9:$I$874,B219)</f>
        <v>0</v>
      </c>
      <c r="AE219" s="30">
        <f>COUNTIFS('AT. MEDICAS 2024'!$A$9:$A$874,"29/09/2025",'AT. MEDICAS 2024'!$I$9:$I$874,B219)</f>
        <v>0</v>
      </c>
      <c r="AF219" s="30">
        <f>COUNTIFS('AT. MEDICAS 2024'!$A$9:$A$874,"30/09/2025",'AT. MEDICAS 2024'!$I$9:$I$874,B219)</f>
        <v>0</v>
      </c>
      <c r="AG219" s="30"/>
      <c r="AH219" s="55">
        <f t="shared" si="27"/>
        <v>0</v>
      </c>
    </row>
    <row r="220" spans="1:34" ht="13.8" thickBot="1" x14ac:dyDescent="0.3">
      <c r="A220" s="41">
        <v>10</v>
      </c>
      <c r="B220" s="54" t="s">
        <v>97</v>
      </c>
      <c r="C220" s="30">
        <f>COUNTIFS('AT. MEDICAS 2024'!$A$9:$A$874,"01/09/2025",'AT. MEDICAS 2024'!$I$9:$I$874,B220)</f>
        <v>0</v>
      </c>
      <c r="D220" s="30">
        <f>COUNTIFS('AT. MEDICAS 2024'!$A$9:$A$874,"02/09/2025",'AT. MEDICAS 2024'!$I$9:$I$874,B220)</f>
        <v>0</v>
      </c>
      <c r="E220" s="30">
        <f>COUNTIFS('AT. MEDICAS 2024'!$A$9:$A$874,"03/09/2025",'AT. MEDICAS 2024'!$I$9:$I$874,B220)</f>
        <v>0</v>
      </c>
      <c r="F220" s="30">
        <f>COUNTIFS('AT. MEDICAS 2024'!$A$9:$A$874,"04/09/2025",'AT. MEDICAS 2024'!$I$9:$I$874,B220)</f>
        <v>0</v>
      </c>
      <c r="G220" s="30">
        <f>COUNTIFS('AT. MEDICAS 2024'!$A$9:$A$874,"05/09/2025",'AT. MEDICAS 2024'!$I$9:$I$874,B220)</f>
        <v>0</v>
      </c>
      <c r="H220" s="30">
        <f>COUNTIFS('AT. MEDICAS 2024'!$A$9:$A$874,"06/09/2025",'AT. MEDICAS 2024'!$I$9:$I$874,B220)</f>
        <v>0</v>
      </c>
      <c r="I220" s="30">
        <f>COUNTIFS('AT. MEDICAS 2024'!$A$9:$A$874,"07/09/2025",'AT. MEDICAS 2024'!$I$9:$I$874,B220)</f>
        <v>0</v>
      </c>
      <c r="J220" s="30">
        <f>COUNTIFS('AT. MEDICAS 2024'!$A$9:$A$874,"08/09/2025",'AT. MEDICAS 2024'!$I$9:$I$874,B220)</f>
        <v>0</v>
      </c>
      <c r="K220" s="30">
        <f>COUNTIFS('AT. MEDICAS 2024'!$A$9:$A$874,"09/09/2025",'AT. MEDICAS 2024'!$I$9:$I$874,B220)</f>
        <v>0</v>
      </c>
      <c r="L220" s="30">
        <f>COUNTIFS('AT. MEDICAS 2024'!$A$9:$A$874,"10/09/2025",'AT. MEDICAS 2024'!$I$9:$I$874,B220)</f>
        <v>0</v>
      </c>
      <c r="M220" s="30">
        <f>COUNTIFS('AT. MEDICAS 2024'!$A$9:$A$874,"11/09/2025",'AT. MEDICAS 2024'!$I$9:$I$874,B220)</f>
        <v>0</v>
      </c>
      <c r="N220" s="30">
        <f>COUNTIFS('AT. MEDICAS 2024'!$A$9:$A$874,"12/09/2025",'AT. MEDICAS 2024'!$I$9:$I$874,B220)</f>
        <v>0</v>
      </c>
      <c r="O220" s="30">
        <f>COUNTIFS('AT. MEDICAS 2024'!$A$9:$A$874,"13/09/2025",'AT. MEDICAS 2024'!$I$9:$I$874,B220)</f>
        <v>0</v>
      </c>
      <c r="P220" s="30">
        <f>COUNTIFS('AT. MEDICAS 2024'!$A$9:$A$874,"14/09/2025",'AT. MEDICAS 2024'!$I$9:$I$874,B220)</f>
        <v>0</v>
      </c>
      <c r="Q220" s="30">
        <f>COUNTIFS('AT. MEDICAS 2024'!$A$9:$A$874,"15/09/2025",'AT. MEDICAS 2024'!$I$9:$I$874,B220)</f>
        <v>0</v>
      </c>
      <c r="R220" s="30">
        <f>COUNTIFS('AT. MEDICAS 2024'!$A$9:$A$874,"16/09/2025",'AT. MEDICAS 2024'!$I$9:$I$874,B220)</f>
        <v>0</v>
      </c>
      <c r="S220" s="30">
        <f>COUNTIFS('AT. MEDICAS 2024'!$A$9:$A$874,"17/09/2025",'AT. MEDICAS 2024'!$I$9:$I$874,B220)</f>
        <v>0</v>
      </c>
      <c r="T220" s="30">
        <f>COUNTIFS('AT. MEDICAS 2024'!$A$9:$A$874,"18/09/2025",'AT. MEDICAS 2024'!$I$9:$I$874,B220)</f>
        <v>0</v>
      </c>
      <c r="U220" s="30">
        <f>COUNTIFS('AT. MEDICAS 2024'!$A$9:$A$874,"19/09/2025",'AT. MEDICAS 2024'!$I$9:$I$874,B220)</f>
        <v>0</v>
      </c>
      <c r="V220" s="30">
        <f>COUNTIFS('AT. MEDICAS 2024'!$A$9:$A$874,"20/09/2025",'AT. MEDICAS 2024'!$I$9:$I$874,B220)</f>
        <v>0</v>
      </c>
      <c r="W220" s="30">
        <f>COUNTIFS('AT. MEDICAS 2024'!$A$9:$A$874,"21/09/2025",'AT. MEDICAS 2024'!$I$9:$I$874,B220)</f>
        <v>0</v>
      </c>
      <c r="X220" s="30">
        <f>COUNTIFS('AT. MEDICAS 2024'!$A$9:$A$874,"22/09/2025",'AT. MEDICAS 2024'!$I$9:$I$874,B220)</f>
        <v>0</v>
      </c>
      <c r="Y220" s="30">
        <f>COUNTIFS('AT. MEDICAS 2024'!$A$9:$A$874,"23/09/2025",'AT. MEDICAS 2024'!$I$9:$I$874,B220)</f>
        <v>0</v>
      </c>
      <c r="Z220" s="30">
        <f>COUNTIFS('AT. MEDICAS 2024'!$A$9:$A$874,"24/09/2025",'AT. MEDICAS 2024'!$I$9:$I$874,B220)</f>
        <v>0</v>
      </c>
      <c r="AA220" s="30">
        <f>COUNTIFS('AT. MEDICAS 2024'!$A$9:$A$874,"25/09/2025",'AT. MEDICAS 2024'!$I$9:$I$874,B220)</f>
        <v>0</v>
      </c>
      <c r="AB220" s="30">
        <f>COUNTIFS('AT. MEDICAS 2024'!$A$9:$A$874,"26/09/2025",'AT. MEDICAS 2024'!$I$9:$I$874,B220)</f>
        <v>0</v>
      </c>
      <c r="AC220" s="30">
        <f>COUNTIFS('AT. MEDICAS 2024'!$A$9:$A$874,"27/09/2025",'AT. MEDICAS 2024'!$I$9:$I$874,B220)</f>
        <v>0</v>
      </c>
      <c r="AD220" s="30">
        <f>COUNTIFS('AT. MEDICAS 2024'!$A$9:$A$874,"28/09/2025",'AT. MEDICAS 2024'!$I$9:$I$874,B220)</f>
        <v>0</v>
      </c>
      <c r="AE220" s="30">
        <f>COUNTIFS('AT. MEDICAS 2024'!$A$9:$A$874,"29/09/2025",'AT. MEDICAS 2024'!$I$9:$I$874,B220)</f>
        <v>0</v>
      </c>
      <c r="AF220" s="30">
        <f>COUNTIFS('AT. MEDICAS 2024'!$A$9:$A$874,"30/09/2025",'AT. MEDICAS 2024'!$I$9:$I$874,B220)</f>
        <v>0</v>
      </c>
      <c r="AG220" s="30"/>
      <c r="AH220" s="55">
        <f t="shared" si="27"/>
        <v>0</v>
      </c>
    </row>
    <row r="221" spans="1:34" ht="13.8" thickBot="1" x14ac:dyDescent="0.3">
      <c r="A221" s="41">
        <v>11</v>
      </c>
      <c r="B221" s="54" t="s">
        <v>21</v>
      </c>
      <c r="C221" s="30">
        <f>COUNTIFS('AT. MEDICAS 2024'!$A$9:$A$874,"01/09/2025",'AT. MEDICAS 2024'!$I$9:$I$874,B221)</f>
        <v>0</v>
      </c>
      <c r="D221" s="30">
        <f>COUNTIFS('AT. MEDICAS 2024'!$A$9:$A$874,"02/09/2025",'AT. MEDICAS 2024'!$I$9:$I$874,B221)</f>
        <v>0</v>
      </c>
      <c r="E221" s="30">
        <f>COUNTIFS('AT. MEDICAS 2024'!$A$9:$A$874,"03/09/2025",'AT. MEDICAS 2024'!$I$9:$I$874,B221)</f>
        <v>0</v>
      </c>
      <c r="F221" s="30">
        <f>COUNTIFS('AT. MEDICAS 2024'!$A$9:$A$874,"04/09/2025",'AT. MEDICAS 2024'!$I$9:$I$874,B221)</f>
        <v>0</v>
      </c>
      <c r="G221" s="30">
        <f>COUNTIFS('AT. MEDICAS 2024'!$A$9:$A$874,"05/09/2025",'AT. MEDICAS 2024'!$I$9:$I$874,B221)</f>
        <v>0</v>
      </c>
      <c r="H221" s="30">
        <f>COUNTIFS('AT. MEDICAS 2024'!$A$9:$A$874,"06/09/2025",'AT. MEDICAS 2024'!$I$9:$I$874,B221)</f>
        <v>0</v>
      </c>
      <c r="I221" s="30">
        <f>COUNTIFS('AT. MEDICAS 2024'!$A$9:$A$874,"07/09/2025",'AT. MEDICAS 2024'!$I$9:$I$874,B221)</f>
        <v>0</v>
      </c>
      <c r="J221" s="30">
        <f>COUNTIFS('AT. MEDICAS 2024'!$A$9:$A$874,"08/09/2025",'AT. MEDICAS 2024'!$I$9:$I$874,B221)</f>
        <v>0</v>
      </c>
      <c r="K221" s="30">
        <f>COUNTIFS('AT. MEDICAS 2024'!$A$9:$A$874,"09/09/2025",'AT. MEDICAS 2024'!$I$9:$I$874,B221)</f>
        <v>0</v>
      </c>
      <c r="L221" s="30">
        <f>COUNTIFS('AT. MEDICAS 2024'!$A$9:$A$874,"10/09/2025",'AT. MEDICAS 2024'!$I$9:$I$874,B221)</f>
        <v>0</v>
      </c>
      <c r="M221" s="30">
        <f>COUNTIFS('AT. MEDICAS 2024'!$A$9:$A$874,"11/09/2025",'AT. MEDICAS 2024'!$I$9:$I$874,B221)</f>
        <v>0</v>
      </c>
      <c r="N221" s="30">
        <f>COUNTIFS('AT. MEDICAS 2024'!$A$9:$A$874,"12/09/2025",'AT. MEDICAS 2024'!$I$9:$I$874,B221)</f>
        <v>0</v>
      </c>
      <c r="O221" s="30">
        <f>COUNTIFS('AT. MEDICAS 2024'!$A$9:$A$874,"13/09/2025",'AT. MEDICAS 2024'!$I$9:$I$874,B221)</f>
        <v>0</v>
      </c>
      <c r="P221" s="30">
        <f>COUNTIFS('AT. MEDICAS 2024'!$A$9:$A$874,"14/09/2025",'AT. MEDICAS 2024'!$I$9:$I$874,B221)</f>
        <v>0</v>
      </c>
      <c r="Q221" s="30">
        <f>COUNTIFS('AT. MEDICAS 2024'!$A$9:$A$874,"15/09/2025",'AT. MEDICAS 2024'!$I$9:$I$874,B221)</f>
        <v>0</v>
      </c>
      <c r="R221" s="30">
        <f>COUNTIFS('AT. MEDICAS 2024'!$A$9:$A$874,"16/09/2025",'AT. MEDICAS 2024'!$I$9:$I$874,B221)</f>
        <v>0</v>
      </c>
      <c r="S221" s="30">
        <f>COUNTIFS('AT. MEDICAS 2024'!$A$9:$A$874,"17/09/2025",'AT. MEDICAS 2024'!$I$9:$I$874,B221)</f>
        <v>0</v>
      </c>
      <c r="T221" s="30">
        <f>COUNTIFS('AT. MEDICAS 2024'!$A$9:$A$874,"18/09/2025",'AT. MEDICAS 2024'!$I$9:$I$874,B221)</f>
        <v>0</v>
      </c>
      <c r="U221" s="30">
        <f>COUNTIFS('AT. MEDICAS 2024'!$A$9:$A$874,"19/09/2025",'AT. MEDICAS 2024'!$I$9:$I$874,B221)</f>
        <v>0</v>
      </c>
      <c r="V221" s="30">
        <f>COUNTIFS('AT. MEDICAS 2024'!$A$9:$A$874,"20/09/2025",'AT. MEDICAS 2024'!$I$9:$I$874,B221)</f>
        <v>0</v>
      </c>
      <c r="W221" s="30">
        <f>COUNTIFS('AT. MEDICAS 2024'!$A$9:$A$874,"21/09/2025",'AT. MEDICAS 2024'!$I$9:$I$874,B221)</f>
        <v>0</v>
      </c>
      <c r="X221" s="30">
        <f>COUNTIFS('AT. MEDICAS 2024'!$A$9:$A$874,"22/09/2025",'AT. MEDICAS 2024'!$I$9:$I$874,B221)</f>
        <v>0</v>
      </c>
      <c r="Y221" s="30">
        <f>COUNTIFS('AT. MEDICAS 2024'!$A$9:$A$874,"23/09/2025",'AT. MEDICAS 2024'!$I$9:$I$874,B221)</f>
        <v>0</v>
      </c>
      <c r="Z221" s="30">
        <f>COUNTIFS('AT. MEDICAS 2024'!$A$9:$A$874,"24/09/2025",'AT. MEDICAS 2024'!$I$9:$I$874,B221)</f>
        <v>0</v>
      </c>
      <c r="AA221" s="30">
        <f>COUNTIFS('AT. MEDICAS 2024'!$A$9:$A$874,"25/09/2025",'AT. MEDICAS 2024'!$I$9:$I$874,B221)</f>
        <v>0</v>
      </c>
      <c r="AB221" s="30">
        <f>COUNTIFS('AT. MEDICAS 2024'!$A$9:$A$874,"26/09/2025",'AT. MEDICAS 2024'!$I$9:$I$874,B221)</f>
        <v>0</v>
      </c>
      <c r="AC221" s="30">
        <f>COUNTIFS('AT. MEDICAS 2024'!$A$9:$A$874,"27/09/2025",'AT. MEDICAS 2024'!$I$9:$I$874,B221)</f>
        <v>0</v>
      </c>
      <c r="AD221" s="30">
        <f>COUNTIFS('AT. MEDICAS 2024'!$A$9:$A$874,"28/09/2025",'AT. MEDICAS 2024'!$I$9:$I$874,B221)</f>
        <v>0</v>
      </c>
      <c r="AE221" s="30">
        <f>COUNTIFS('AT. MEDICAS 2024'!$A$9:$A$874,"29/09/2025",'AT. MEDICAS 2024'!$I$9:$I$874,B221)</f>
        <v>0</v>
      </c>
      <c r="AF221" s="30">
        <f>COUNTIFS('AT. MEDICAS 2024'!$A$9:$A$874,"30/09/2025",'AT. MEDICAS 2024'!$I$9:$I$874,B221)</f>
        <v>0</v>
      </c>
      <c r="AG221" s="30"/>
      <c r="AH221" s="55">
        <f t="shared" si="27"/>
        <v>0</v>
      </c>
    </row>
    <row r="222" spans="1:34" ht="13.8" thickBot="1" x14ac:dyDescent="0.3">
      <c r="A222" s="41">
        <v>12</v>
      </c>
      <c r="B222" s="54" t="s">
        <v>23</v>
      </c>
      <c r="C222" s="30">
        <f>COUNTIFS('AT. MEDICAS 2024'!$A$9:$A$874,"01/09/2025",'AT. MEDICAS 2024'!$I$9:$I$874,B222)</f>
        <v>0</v>
      </c>
      <c r="D222" s="30">
        <f>COUNTIFS('AT. MEDICAS 2024'!$A$9:$A$874,"02/09/2025",'AT. MEDICAS 2024'!$I$9:$I$874,B222)</f>
        <v>0</v>
      </c>
      <c r="E222" s="30">
        <f>COUNTIFS('AT. MEDICAS 2024'!$A$9:$A$874,"03/09/2025",'AT. MEDICAS 2024'!$I$9:$I$874,B222)</f>
        <v>0</v>
      </c>
      <c r="F222" s="30">
        <f>COUNTIFS('AT. MEDICAS 2024'!$A$9:$A$874,"04/09/2025",'AT. MEDICAS 2024'!$I$9:$I$874,B222)</f>
        <v>0</v>
      </c>
      <c r="G222" s="30">
        <f>COUNTIFS('AT. MEDICAS 2024'!$A$9:$A$874,"05/09/2025",'AT. MEDICAS 2024'!$I$9:$I$874,B222)</f>
        <v>0</v>
      </c>
      <c r="H222" s="30">
        <f>COUNTIFS('AT. MEDICAS 2024'!$A$9:$A$874,"06/09/2025",'AT. MEDICAS 2024'!$I$9:$I$874,B222)</f>
        <v>0</v>
      </c>
      <c r="I222" s="30">
        <f>COUNTIFS('AT. MEDICAS 2024'!$A$9:$A$874,"07/09/2025",'AT. MEDICAS 2024'!$I$9:$I$874,B222)</f>
        <v>0</v>
      </c>
      <c r="J222" s="30">
        <f>COUNTIFS('AT. MEDICAS 2024'!$A$9:$A$874,"08/09/2025",'AT. MEDICAS 2024'!$I$9:$I$874,B222)</f>
        <v>0</v>
      </c>
      <c r="K222" s="30">
        <f>COUNTIFS('AT. MEDICAS 2024'!$A$9:$A$874,"09/09/2025",'AT. MEDICAS 2024'!$I$9:$I$874,B222)</f>
        <v>0</v>
      </c>
      <c r="L222" s="30">
        <f>COUNTIFS('AT. MEDICAS 2024'!$A$9:$A$874,"10/09/2025",'AT. MEDICAS 2024'!$I$9:$I$874,B222)</f>
        <v>0</v>
      </c>
      <c r="M222" s="30">
        <f>COUNTIFS('AT. MEDICAS 2024'!$A$9:$A$874,"11/09/2025",'AT. MEDICAS 2024'!$I$9:$I$874,B222)</f>
        <v>0</v>
      </c>
      <c r="N222" s="30">
        <f>COUNTIFS('AT. MEDICAS 2024'!$A$9:$A$874,"12/09/2025",'AT. MEDICAS 2024'!$I$9:$I$874,B222)</f>
        <v>0</v>
      </c>
      <c r="O222" s="30">
        <f>COUNTIFS('AT. MEDICAS 2024'!$A$9:$A$874,"13/09/2025",'AT. MEDICAS 2024'!$I$9:$I$874,B222)</f>
        <v>0</v>
      </c>
      <c r="P222" s="30">
        <f>COUNTIFS('AT. MEDICAS 2024'!$A$9:$A$874,"14/09/2025",'AT. MEDICAS 2024'!$I$9:$I$874,B222)</f>
        <v>0</v>
      </c>
      <c r="Q222" s="30">
        <f>COUNTIFS('AT. MEDICAS 2024'!$A$9:$A$874,"15/09/2025",'AT. MEDICAS 2024'!$I$9:$I$874,B222)</f>
        <v>0</v>
      </c>
      <c r="R222" s="30">
        <f>COUNTIFS('AT. MEDICAS 2024'!$A$9:$A$874,"16/09/2025",'AT. MEDICAS 2024'!$I$9:$I$874,B222)</f>
        <v>0</v>
      </c>
      <c r="S222" s="30">
        <f>COUNTIFS('AT. MEDICAS 2024'!$A$9:$A$874,"17/09/2025",'AT. MEDICAS 2024'!$I$9:$I$874,B222)</f>
        <v>0</v>
      </c>
      <c r="T222" s="30">
        <f>COUNTIFS('AT. MEDICAS 2024'!$A$9:$A$874,"18/09/2025",'AT. MEDICAS 2024'!$I$9:$I$874,B222)</f>
        <v>0</v>
      </c>
      <c r="U222" s="30">
        <f>COUNTIFS('AT. MEDICAS 2024'!$A$9:$A$874,"19/09/2025",'AT. MEDICAS 2024'!$I$9:$I$874,B222)</f>
        <v>0</v>
      </c>
      <c r="V222" s="30">
        <f>COUNTIFS('AT. MEDICAS 2024'!$A$9:$A$874,"20/09/2025",'AT. MEDICAS 2024'!$I$9:$I$874,B222)</f>
        <v>0</v>
      </c>
      <c r="W222" s="30">
        <f>COUNTIFS('AT. MEDICAS 2024'!$A$9:$A$874,"21/09/2025",'AT. MEDICAS 2024'!$I$9:$I$874,B222)</f>
        <v>0</v>
      </c>
      <c r="X222" s="30">
        <f>COUNTIFS('AT. MEDICAS 2024'!$A$9:$A$874,"22/09/2025",'AT. MEDICAS 2024'!$I$9:$I$874,B222)</f>
        <v>0</v>
      </c>
      <c r="Y222" s="30">
        <f>COUNTIFS('AT. MEDICAS 2024'!$A$9:$A$874,"23/09/2025",'AT. MEDICAS 2024'!$I$9:$I$874,B222)</f>
        <v>0</v>
      </c>
      <c r="Z222" s="30">
        <f>COUNTIFS('AT. MEDICAS 2024'!$A$9:$A$874,"24/09/2025",'AT. MEDICAS 2024'!$I$9:$I$874,B222)</f>
        <v>0</v>
      </c>
      <c r="AA222" s="30">
        <f>COUNTIFS('AT. MEDICAS 2024'!$A$9:$A$874,"25/09/2025",'AT. MEDICAS 2024'!$I$9:$I$874,B222)</f>
        <v>0</v>
      </c>
      <c r="AB222" s="30">
        <f>COUNTIFS('AT. MEDICAS 2024'!$A$9:$A$874,"26/09/2025",'AT. MEDICAS 2024'!$I$9:$I$874,B222)</f>
        <v>0</v>
      </c>
      <c r="AC222" s="30">
        <f>COUNTIFS('AT. MEDICAS 2024'!$A$9:$A$874,"27/09/2025",'AT. MEDICAS 2024'!$I$9:$I$874,B222)</f>
        <v>0</v>
      </c>
      <c r="AD222" s="30">
        <f>COUNTIFS('AT. MEDICAS 2024'!$A$9:$A$874,"28/09/2025",'AT. MEDICAS 2024'!$I$9:$I$874,B222)</f>
        <v>0</v>
      </c>
      <c r="AE222" s="30">
        <f>COUNTIFS('AT. MEDICAS 2024'!$A$9:$A$874,"29/09/2025",'AT. MEDICAS 2024'!$I$9:$I$874,B222)</f>
        <v>0</v>
      </c>
      <c r="AF222" s="30">
        <f>COUNTIFS('AT. MEDICAS 2024'!$A$9:$A$874,"30/09/2025",'AT. MEDICAS 2024'!$I$9:$I$874,B222)</f>
        <v>0</v>
      </c>
      <c r="AG222" s="30"/>
      <c r="AH222" s="55">
        <f t="shared" si="27"/>
        <v>0</v>
      </c>
    </row>
    <row r="223" spans="1:34" ht="13.8" thickBot="1" x14ac:dyDescent="0.3">
      <c r="A223" s="41">
        <v>13</v>
      </c>
      <c r="B223" s="54" t="s">
        <v>57</v>
      </c>
      <c r="C223" s="30">
        <f>COUNTIFS('AT. MEDICAS 2024'!$A$9:$A$874,"01/09/2025",'AT. MEDICAS 2024'!$I$9:$I$874,B223)</f>
        <v>0</v>
      </c>
      <c r="D223" s="30">
        <f>COUNTIFS('AT. MEDICAS 2024'!$A$9:$A$874,"02/09/2025",'AT. MEDICAS 2024'!$I$9:$I$874,B223)</f>
        <v>0</v>
      </c>
      <c r="E223" s="30">
        <f>COUNTIFS('AT. MEDICAS 2024'!$A$9:$A$874,"03/09/2025",'AT. MEDICAS 2024'!$I$9:$I$874,B223)</f>
        <v>0</v>
      </c>
      <c r="F223" s="30">
        <f>COUNTIFS('AT. MEDICAS 2024'!$A$9:$A$874,"04/09/2025",'AT. MEDICAS 2024'!$I$9:$I$874,B223)</f>
        <v>0</v>
      </c>
      <c r="G223" s="30">
        <f>COUNTIFS('AT. MEDICAS 2024'!$A$9:$A$874,"05/09/2025",'AT. MEDICAS 2024'!$I$9:$I$874,B223)</f>
        <v>0</v>
      </c>
      <c r="H223" s="30">
        <f>COUNTIFS('AT. MEDICAS 2024'!$A$9:$A$874,"06/09/2025",'AT. MEDICAS 2024'!$I$9:$I$874,B223)</f>
        <v>0</v>
      </c>
      <c r="I223" s="30">
        <f>COUNTIFS('AT. MEDICAS 2024'!$A$9:$A$874,"07/09/2025",'AT. MEDICAS 2024'!$I$9:$I$874,B223)</f>
        <v>0</v>
      </c>
      <c r="J223" s="30">
        <f>COUNTIFS('AT. MEDICAS 2024'!$A$9:$A$874,"08/09/2025",'AT. MEDICAS 2024'!$I$9:$I$874,B223)</f>
        <v>0</v>
      </c>
      <c r="K223" s="30">
        <f>COUNTIFS('AT. MEDICAS 2024'!$A$9:$A$874,"09/09/2025",'AT. MEDICAS 2024'!$I$9:$I$874,B223)</f>
        <v>0</v>
      </c>
      <c r="L223" s="30">
        <f>COUNTIFS('AT. MEDICAS 2024'!$A$9:$A$874,"10/09/2025",'AT. MEDICAS 2024'!$I$9:$I$874,B223)</f>
        <v>0</v>
      </c>
      <c r="M223" s="30">
        <f>COUNTIFS('AT. MEDICAS 2024'!$A$9:$A$874,"11/09/2025",'AT. MEDICAS 2024'!$I$9:$I$874,B223)</f>
        <v>0</v>
      </c>
      <c r="N223" s="30">
        <f>COUNTIFS('AT. MEDICAS 2024'!$A$9:$A$874,"12/09/2025",'AT. MEDICAS 2024'!$I$9:$I$874,B223)</f>
        <v>0</v>
      </c>
      <c r="O223" s="30">
        <f>COUNTIFS('AT. MEDICAS 2024'!$A$9:$A$874,"13/09/2025",'AT. MEDICAS 2024'!$I$9:$I$874,B223)</f>
        <v>0</v>
      </c>
      <c r="P223" s="30">
        <f>COUNTIFS('AT. MEDICAS 2024'!$A$9:$A$874,"14/09/2025",'AT. MEDICAS 2024'!$I$9:$I$874,B223)</f>
        <v>0</v>
      </c>
      <c r="Q223" s="30">
        <f>COUNTIFS('AT. MEDICAS 2024'!$A$9:$A$874,"15/09/2025",'AT. MEDICAS 2024'!$I$9:$I$874,B223)</f>
        <v>0</v>
      </c>
      <c r="R223" s="30">
        <f>COUNTIFS('AT. MEDICAS 2024'!$A$9:$A$874,"16/09/2025",'AT. MEDICAS 2024'!$I$9:$I$874,B223)</f>
        <v>0</v>
      </c>
      <c r="S223" s="30">
        <f>COUNTIFS('AT. MEDICAS 2024'!$A$9:$A$874,"17/09/2025",'AT. MEDICAS 2024'!$I$9:$I$874,B223)</f>
        <v>0</v>
      </c>
      <c r="T223" s="30">
        <f>COUNTIFS('AT. MEDICAS 2024'!$A$9:$A$874,"18/09/2025",'AT. MEDICAS 2024'!$I$9:$I$874,B223)</f>
        <v>0</v>
      </c>
      <c r="U223" s="30">
        <f>COUNTIFS('AT. MEDICAS 2024'!$A$9:$A$874,"19/09/2025",'AT. MEDICAS 2024'!$I$9:$I$874,B223)</f>
        <v>0</v>
      </c>
      <c r="V223" s="30">
        <f>COUNTIFS('AT. MEDICAS 2024'!$A$9:$A$874,"20/09/2025",'AT. MEDICAS 2024'!$I$9:$I$874,B223)</f>
        <v>0</v>
      </c>
      <c r="W223" s="30">
        <f>COUNTIFS('AT. MEDICAS 2024'!$A$9:$A$874,"21/09/2025",'AT. MEDICAS 2024'!$I$9:$I$874,B223)</f>
        <v>0</v>
      </c>
      <c r="X223" s="30">
        <f>COUNTIFS('AT. MEDICAS 2024'!$A$9:$A$874,"22/09/2025",'AT. MEDICAS 2024'!$I$9:$I$874,B223)</f>
        <v>0</v>
      </c>
      <c r="Y223" s="30">
        <f>COUNTIFS('AT. MEDICAS 2024'!$A$9:$A$874,"23/09/2025",'AT. MEDICAS 2024'!$I$9:$I$874,B223)</f>
        <v>0</v>
      </c>
      <c r="Z223" s="30">
        <f>COUNTIFS('AT. MEDICAS 2024'!$A$9:$A$874,"24/09/2025",'AT. MEDICAS 2024'!$I$9:$I$874,B223)</f>
        <v>0</v>
      </c>
      <c r="AA223" s="30">
        <f>COUNTIFS('AT. MEDICAS 2024'!$A$9:$A$874,"25/09/2025",'AT. MEDICAS 2024'!$I$9:$I$874,B223)</f>
        <v>0</v>
      </c>
      <c r="AB223" s="30">
        <f>COUNTIFS('AT. MEDICAS 2024'!$A$9:$A$874,"26/09/2025",'AT. MEDICAS 2024'!$I$9:$I$874,B223)</f>
        <v>0</v>
      </c>
      <c r="AC223" s="30">
        <f>COUNTIFS('AT. MEDICAS 2024'!$A$9:$A$874,"27/09/2025",'AT. MEDICAS 2024'!$I$9:$I$874,B223)</f>
        <v>0</v>
      </c>
      <c r="AD223" s="30">
        <f>COUNTIFS('AT. MEDICAS 2024'!$A$9:$A$874,"28/09/2025",'AT. MEDICAS 2024'!$I$9:$I$874,B223)</f>
        <v>0</v>
      </c>
      <c r="AE223" s="30">
        <f>COUNTIFS('AT. MEDICAS 2024'!$A$9:$A$874,"29/09/2025",'AT. MEDICAS 2024'!$I$9:$I$874,B223)</f>
        <v>0</v>
      </c>
      <c r="AF223" s="30">
        <f>COUNTIFS('AT. MEDICAS 2024'!$A$9:$A$874,"30/09/2025",'AT. MEDICAS 2024'!$I$9:$I$874,B223)</f>
        <v>0</v>
      </c>
      <c r="AG223" s="30"/>
      <c r="AH223" s="55">
        <f t="shared" si="27"/>
        <v>0</v>
      </c>
    </row>
    <row r="224" spans="1:34" ht="13.8" thickBot="1" x14ac:dyDescent="0.3">
      <c r="A224" s="41">
        <v>14</v>
      </c>
      <c r="B224" s="54" t="s">
        <v>66</v>
      </c>
      <c r="C224" s="30">
        <f>COUNTIFS('AT. MEDICAS 2024'!$A$9:$A$874,"01/09/2025",'AT. MEDICAS 2024'!$I$9:$I$874,B224)</f>
        <v>0</v>
      </c>
      <c r="D224" s="30">
        <f>COUNTIFS('AT. MEDICAS 2024'!$A$9:$A$874,"02/09/2025",'AT. MEDICAS 2024'!$I$9:$I$874,B224)</f>
        <v>0</v>
      </c>
      <c r="E224" s="30">
        <f>COUNTIFS('AT. MEDICAS 2024'!$A$9:$A$874,"03/09/2025",'AT. MEDICAS 2024'!$I$9:$I$874,B224)</f>
        <v>0</v>
      </c>
      <c r="F224" s="30">
        <f>COUNTIFS('AT. MEDICAS 2024'!$A$9:$A$874,"04/09/2025",'AT. MEDICAS 2024'!$I$9:$I$874,B224)</f>
        <v>0</v>
      </c>
      <c r="G224" s="30">
        <f>COUNTIFS('AT. MEDICAS 2024'!$A$9:$A$874,"05/09/2025",'AT. MEDICAS 2024'!$I$9:$I$874,B224)</f>
        <v>0</v>
      </c>
      <c r="H224" s="30">
        <f>COUNTIFS('AT. MEDICAS 2024'!$A$9:$A$874,"06/09/2025",'AT. MEDICAS 2024'!$I$9:$I$874,B224)</f>
        <v>0</v>
      </c>
      <c r="I224" s="30">
        <f>COUNTIFS('AT. MEDICAS 2024'!$A$9:$A$874,"07/09/2025",'AT. MEDICAS 2024'!$I$9:$I$874,B224)</f>
        <v>0</v>
      </c>
      <c r="J224" s="30">
        <f>COUNTIFS('AT. MEDICAS 2024'!$A$9:$A$874,"08/09/2025",'AT. MEDICAS 2024'!$I$9:$I$874,B224)</f>
        <v>0</v>
      </c>
      <c r="K224" s="30">
        <f>COUNTIFS('AT. MEDICAS 2024'!$A$9:$A$874,"09/09/2025",'AT. MEDICAS 2024'!$I$9:$I$874,B224)</f>
        <v>0</v>
      </c>
      <c r="L224" s="30">
        <f>COUNTIFS('AT. MEDICAS 2024'!$A$9:$A$874,"10/09/2025",'AT. MEDICAS 2024'!$I$9:$I$874,B224)</f>
        <v>0</v>
      </c>
      <c r="M224" s="30">
        <f>COUNTIFS('AT. MEDICAS 2024'!$A$9:$A$874,"11/09/2025",'AT. MEDICAS 2024'!$I$9:$I$874,B224)</f>
        <v>0</v>
      </c>
      <c r="N224" s="30">
        <f>COUNTIFS('AT. MEDICAS 2024'!$A$9:$A$874,"12/09/2025",'AT. MEDICAS 2024'!$I$9:$I$874,B224)</f>
        <v>0</v>
      </c>
      <c r="O224" s="30">
        <f>COUNTIFS('AT. MEDICAS 2024'!$A$9:$A$874,"13/09/2025",'AT. MEDICAS 2024'!$I$9:$I$874,B224)</f>
        <v>0</v>
      </c>
      <c r="P224" s="30">
        <f>COUNTIFS('AT. MEDICAS 2024'!$A$9:$A$874,"14/09/2025",'AT. MEDICAS 2024'!$I$9:$I$874,B224)</f>
        <v>0</v>
      </c>
      <c r="Q224" s="30">
        <f>COUNTIFS('AT. MEDICAS 2024'!$A$9:$A$874,"15/09/2025",'AT. MEDICAS 2024'!$I$9:$I$874,B224)</f>
        <v>0</v>
      </c>
      <c r="R224" s="30">
        <f>COUNTIFS('AT. MEDICAS 2024'!$A$9:$A$874,"16/09/2025",'AT. MEDICAS 2024'!$I$9:$I$874,B224)</f>
        <v>0</v>
      </c>
      <c r="S224" s="30">
        <f>COUNTIFS('AT. MEDICAS 2024'!$A$9:$A$874,"17/09/2025",'AT. MEDICAS 2024'!$I$9:$I$874,B224)</f>
        <v>0</v>
      </c>
      <c r="T224" s="30">
        <f>COUNTIFS('AT. MEDICAS 2024'!$A$9:$A$874,"18/09/2025",'AT. MEDICAS 2024'!$I$9:$I$874,B224)</f>
        <v>0</v>
      </c>
      <c r="U224" s="30">
        <f>COUNTIFS('AT. MEDICAS 2024'!$A$9:$A$874,"19/09/2025",'AT. MEDICAS 2024'!$I$9:$I$874,B224)</f>
        <v>0</v>
      </c>
      <c r="V224" s="30">
        <f>COUNTIFS('AT. MEDICAS 2024'!$A$9:$A$874,"20/09/2025",'AT. MEDICAS 2024'!$I$9:$I$874,B224)</f>
        <v>0</v>
      </c>
      <c r="W224" s="30">
        <f>COUNTIFS('AT. MEDICAS 2024'!$A$9:$A$874,"21/09/2025",'AT. MEDICAS 2024'!$I$9:$I$874,B224)</f>
        <v>0</v>
      </c>
      <c r="X224" s="30">
        <f>COUNTIFS('AT. MEDICAS 2024'!$A$9:$A$874,"22/09/2025",'AT. MEDICAS 2024'!$I$9:$I$874,B224)</f>
        <v>0</v>
      </c>
      <c r="Y224" s="30">
        <f>COUNTIFS('AT. MEDICAS 2024'!$A$9:$A$874,"23/09/2025",'AT. MEDICAS 2024'!$I$9:$I$874,B224)</f>
        <v>0</v>
      </c>
      <c r="Z224" s="30">
        <f>COUNTIFS('AT. MEDICAS 2024'!$A$9:$A$874,"24/09/2025",'AT. MEDICAS 2024'!$I$9:$I$874,B224)</f>
        <v>0</v>
      </c>
      <c r="AA224" s="30">
        <f>COUNTIFS('AT. MEDICAS 2024'!$A$9:$A$874,"25/09/2025",'AT. MEDICAS 2024'!$I$9:$I$874,B224)</f>
        <v>0</v>
      </c>
      <c r="AB224" s="30">
        <f>COUNTIFS('AT. MEDICAS 2024'!$A$9:$A$874,"26/09/2025",'AT. MEDICAS 2024'!$I$9:$I$874,B224)</f>
        <v>0</v>
      </c>
      <c r="AC224" s="30">
        <f>COUNTIFS('AT. MEDICAS 2024'!$A$9:$A$874,"27/09/2025",'AT. MEDICAS 2024'!$I$9:$I$874,B224)</f>
        <v>0</v>
      </c>
      <c r="AD224" s="30">
        <f>COUNTIFS('AT. MEDICAS 2024'!$A$9:$A$874,"28/09/2025",'AT. MEDICAS 2024'!$I$9:$I$874,B224)</f>
        <v>0</v>
      </c>
      <c r="AE224" s="30">
        <f>COUNTIFS('AT. MEDICAS 2024'!$A$9:$A$874,"29/09/2025",'AT. MEDICAS 2024'!$I$9:$I$874,B224)</f>
        <v>0</v>
      </c>
      <c r="AF224" s="30">
        <f>COUNTIFS('AT. MEDICAS 2024'!$A$9:$A$874,"30/09/2025",'AT. MEDICAS 2024'!$I$9:$I$874,B224)</f>
        <v>0</v>
      </c>
      <c r="AG224" s="30"/>
      <c r="AH224" s="55">
        <f t="shared" si="27"/>
        <v>0</v>
      </c>
    </row>
    <row r="225" spans="1:34" ht="13.8" thickBot="1" x14ac:dyDescent="0.3">
      <c r="A225" s="41">
        <v>15</v>
      </c>
      <c r="B225" s="54" t="s">
        <v>189</v>
      </c>
      <c r="C225" s="30">
        <f>COUNTIFS('AT. MEDICAS 2024'!$A$9:$A$874,"01/09/2025",'AT. MEDICAS 2024'!$I$9:$I$874,B225)</f>
        <v>0</v>
      </c>
      <c r="D225" s="30">
        <f>COUNTIFS('AT. MEDICAS 2024'!$A$9:$A$874,"02/09/2025",'AT. MEDICAS 2024'!$I$9:$I$874,B225)</f>
        <v>0</v>
      </c>
      <c r="E225" s="30">
        <f>COUNTIFS('AT. MEDICAS 2024'!$A$9:$A$874,"03/09/2025",'AT. MEDICAS 2024'!$I$9:$I$874,B225)</f>
        <v>0</v>
      </c>
      <c r="F225" s="30">
        <f>COUNTIFS('AT. MEDICAS 2024'!$A$9:$A$874,"04/09/2025",'AT. MEDICAS 2024'!$I$9:$I$874,B225)</f>
        <v>0</v>
      </c>
      <c r="G225" s="30">
        <f>COUNTIFS('AT. MEDICAS 2024'!$A$9:$A$874,"05/09/2025",'AT. MEDICAS 2024'!$I$9:$I$874,B225)</f>
        <v>0</v>
      </c>
      <c r="H225" s="30">
        <f>COUNTIFS('AT. MEDICAS 2024'!$A$9:$A$874,"06/09/2025",'AT. MEDICAS 2024'!$I$9:$I$874,B225)</f>
        <v>0</v>
      </c>
      <c r="I225" s="30">
        <f>COUNTIFS('AT. MEDICAS 2024'!$A$9:$A$874,"07/09/2025",'AT. MEDICAS 2024'!$I$9:$I$874,B225)</f>
        <v>0</v>
      </c>
      <c r="J225" s="30">
        <f>COUNTIFS('AT. MEDICAS 2024'!$A$9:$A$874,"08/09/2025",'AT. MEDICAS 2024'!$I$9:$I$874,B225)</f>
        <v>0</v>
      </c>
      <c r="K225" s="30">
        <f>COUNTIFS('AT. MEDICAS 2024'!$A$9:$A$874,"09/09/2025",'AT. MEDICAS 2024'!$I$9:$I$874,B225)</f>
        <v>0</v>
      </c>
      <c r="L225" s="30">
        <f>COUNTIFS('AT. MEDICAS 2024'!$A$9:$A$874,"10/09/2025",'AT. MEDICAS 2024'!$I$9:$I$874,B225)</f>
        <v>0</v>
      </c>
      <c r="M225" s="30">
        <f>COUNTIFS('AT. MEDICAS 2024'!$A$9:$A$874,"11/09/2025",'AT. MEDICAS 2024'!$I$9:$I$874,B225)</f>
        <v>0</v>
      </c>
      <c r="N225" s="30">
        <f>COUNTIFS('AT. MEDICAS 2024'!$A$9:$A$874,"12/09/2025",'AT. MEDICAS 2024'!$I$9:$I$874,B225)</f>
        <v>0</v>
      </c>
      <c r="O225" s="30">
        <f>COUNTIFS('AT. MEDICAS 2024'!$A$9:$A$874,"13/09/2025",'AT. MEDICAS 2024'!$I$9:$I$874,B225)</f>
        <v>0</v>
      </c>
      <c r="P225" s="30">
        <f>COUNTIFS('AT. MEDICAS 2024'!$A$9:$A$874,"14/09/2025",'AT. MEDICAS 2024'!$I$9:$I$874,B225)</f>
        <v>0</v>
      </c>
      <c r="Q225" s="30">
        <f>COUNTIFS('AT. MEDICAS 2024'!$A$9:$A$874,"15/09/2025",'AT. MEDICAS 2024'!$I$9:$I$874,B225)</f>
        <v>0</v>
      </c>
      <c r="R225" s="30">
        <f>COUNTIFS('AT. MEDICAS 2024'!$A$9:$A$874,"16/09/2025",'AT. MEDICAS 2024'!$I$9:$I$874,B225)</f>
        <v>0</v>
      </c>
      <c r="S225" s="30">
        <f>COUNTIFS('AT. MEDICAS 2024'!$A$9:$A$874,"17/09/2025",'AT. MEDICAS 2024'!$I$9:$I$874,B225)</f>
        <v>0</v>
      </c>
      <c r="T225" s="30">
        <f>COUNTIFS('AT. MEDICAS 2024'!$A$9:$A$874,"18/09/2025",'AT. MEDICAS 2024'!$I$9:$I$874,B225)</f>
        <v>0</v>
      </c>
      <c r="U225" s="30">
        <f>COUNTIFS('AT. MEDICAS 2024'!$A$9:$A$874,"19/09/2025",'AT. MEDICAS 2024'!$I$9:$I$874,B225)</f>
        <v>0</v>
      </c>
      <c r="V225" s="30">
        <f>COUNTIFS('AT. MEDICAS 2024'!$A$9:$A$874,"20/09/2025",'AT. MEDICAS 2024'!$I$9:$I$874,B225)</f>
        <v>0</v>
      </c>
      <c r="W225" s="30">
        <f>COUNTIFS('AT. MEDICAS 2024'!$A$9:$A$874,"21/09/2025",'AT. MEDICAS 2024'!$I$9:$I$874,B225)</f>
        <v>0</v>
      </c>
      <c r="X225" s="30">
        <f>COUNTIFS('AT. MEDICAS 2024'!$A$9:$A$874,"22/09/2025",'AT. MEDICAS 2024'!$I$9:$I$874,B225)</f>
        <v>0</v>
      </c>
      <c r="Y225" s="30">
        <f>COUNTIFS('AT. MEDICAS 2024'!$A$9:$A$874,"23/09/2025",'AT. MEDICAS 2024'!$I$9:$I$874,B225)</f>
        <v>0</v>
      </c>
      <c r="Z225" s="30">
        <f>COUNTIFS('AT. MEDICAS 2024'!$A$9:$A$874,"24/09/2025",'AT. MEDICAS 2024'!$I$9:$I$874,B225)</f>
        <v>0</v>
      </c>
      <c r="AA225" s="30">
        <f>COUNTIFS('AT. MEDICAS 2024'!$A$9:$A$874,"25/09/2025",'AT. MEDICAS 2024'!$I$9:$I$874,B225)</f>
        <v>0</v>
      </c>
      <c r="AB225" s="30">
        <f>COUNTIFS('AT. MEDICAS 2024'!$A$9:$A$874,"26/09/2025",'AT. MEDICAS 2024'!$I$9:$I$874,B225)</f>
        <v>0</v>
      </c>
      <c r="AC225" s="30">
        <f>COUNTIFS('AT. MEDICAS 2024'!$A$9:$A$874,"27/09/2025",'AT. MEDICAS 2024'!$I$9:$I$874,B225)</f>
        <v>0</v>
      </c>
      <c r="AD225" s="30">
        <f>COUNTIFS('AT. MEDICAS 2024'!$A$9:$A$874,"28/09/2025",'AT. MEDICAS 2024'!$I$9:$I$874,B225)</f>
        <v>0</v>
      </c>
      <c r="AE225" s="30">
        <f>COUNTIFS('AT. MEDICAS 2024'!$A$9:$A$874,"29/09/2025",'AT. MEDICAS 2024'!$I$9:$I$874,B225)</f>
        <v>0</v>
      </c>
      <c r="AF225" s="30">
        <f>COUNTIFS('AT. MEDICAS 2024'!$A$9:$A$874,"30/09/2025",'AT. MEDICAS 2024'!$I$9:$I$874,B225)</f>
        <v>0</v>
      </c>
      <c r="AG225" s="30"/>
      <c r="AH225" s="55">
        <f t="shared" si="27"/>
        <v>0</v>
      </c>
    </row>
    <row r="226" spans="1:34" ht="13.8" thickBot="1" x14ac:dyDescent="0.3">
      <c r="A226" s="41">
        <v>16</v>
      </c>
      <c r="B226" s="54" t="s">
        <v>14</v>
      </c>
      <c r="C226" s="30">
        <f>COUNTIFS('AT. MEDICAS 2024'!$A$9:$A$874,"01/09/2025",'AT. MEDICAS 2024'!$I$9:$I$874,B226)</f>
        <v>0</v>
      </c>
      <c r="D226" s="30">
        <f>COUNTIFS('AT. MEDICAS 2024'!$A$9:$A$874,"02/09/2025",'AT. MEDICAS 2024'!$I$9:$I$874,B226)</f>
        <v>0</v>
      </c>
      <c r="E226" s="30">
        <f>COUNTIFS('AT. MEDICAS 2024'!$A$9:$A$874,"03/09/2025",'AT. MEDICAS 2024'!$I$9:$I$874,B226)</f>
        <v>0</v>
      </c>
      <c r="F226" s="30">
        <f>COUNTIFS('AT. MEDICAS 2024'!$A$9:$A$874,"04/09/2025",'AT. MEDICAS 2024'!$I$9:$I$874,B226)</f>
        <v>0</v>
      </c>
      <c r="G226" s="30">
        <f>COUNTIFS('AT. MEDICAS 2024'!$A$9:$A$874,"05/09/2025",'AT. MEDICAS 2024'!$I$9:$I$874,B226)</f>
        <v>0</v>
      </c>
      <c r="H226" s="30">
        <f>COUNTIFS('AT. MEDICAS 2024'!$A$9:$A$874,"06/09/2025",'AT. MEDICAS 2024'!$I$9:$I$874,B226)</f>
        <v>0</v>
      </c>
      <c r="I226" s="30">
        <f>COUNTIFS('AT. MEDICAS 2024'!$A$9:$A$874,"07/09/2025",'AT. MEDICAS 2024'!$I$9:$I$874,B226)</f>
        <v>0</v>
      </c>
      <c r="J226" s="30">
        <f>COUNTIFS('AT. MEDICAS 2024'!$A$9:$A$874,"08/09/2025",'AT. MEDICAS 2024'!$I$9:$I$874,B226)</f>
        <v>0</v>
      </c>
      <c r="K226" s="30">
        <f>COUNTIFS('AT. MEDICAS 2024'!$A$9:$A$874,"09/09/2025",'AT. MEDICAS 2024'!$I$9:$I$874,B226)</f>
        <v>0</v>
      </c>
      <c r="L226" s="30">
        <f>COUNTIFS('AT. MEDICAS 2024'!$A$9:$A$874,"10/09/2025",'AT. MEDICAS 2024'!$I$9:$I$874,B226)</f>
        <v>0</v>
      </c>
      <c r="M226" s="30">
        <f>COUNTIFS('AT. MEDICAS 2024'!$A$9:$A$874,"11/09/2025",'AT. MEDICAS 2024'!$I$9:$I$874,B226)</f>
        <v>0</v>
      </c>
      <c r="N226" s="30">
        <f>COUNTIFS('AT. MEDICAS 2024'!$A$9:$A$874,"12/09/2025",'AT. MEDICAS 2024'!$I$9:$I$874,B226)</f>
        <v>0</v>
      </c>
      <c r="O226" s="30">
        <f>COUNTIFS('AT. MEDICAS 2024'!$A$9:$A$874,"13/09/2025",'AT. MEDICAS 2024'!$I$9:$I$874,B226)</f>
        <v>0</v>
      </c>
      <c r="P226" s="30">
        <f>COUNTIFS('AT. MEDICAS 2024'!$A$9:$A$874,"14/09/2025",'AT. MEDICAS 2024'!$I$9:$I$874,B226)</f>
        <v>0</v>
      </c>
      <c r="Q226" s="30">
        <f>COUNTIFS('AT. MEDICAS 2024'!$A$9:$A$874,"15/09/2025",'AT. MEDICAS 2024'!$I$9:$I$874,B226)</f>
        <v>0</v>
      </c>
      <c r="R226" s="30">
        <f>COUNTIFS('AT. MEDICAS 2024'!$A$9:$A$874,"16/09/2025",'AT. MEDICAS 2024'!$I$9:$I$874,B226)</f>
        <v>0</v>
      </c>
      <c r="S226" s="30">
        <f>COUNTIFS('AT. MEDICAS 2024'!$A$9:$A$874,"17/09/2025",'AT. MEDICAS 2024'!$I$9:$I$874,B226)</f>
        <v>0</v>
      </c>
      <c r="T226" s="30">
        <f>COUNTIFS('AT. MEDICAS 2024'!$A$9:$A$874,"18/09/2025",'AT. MEDICAS 2024'!$I$9:$I$874,B226)</f>
        <v>0</v>
      </c>
      <c r="U226" s="30">
        <f>COUNTIFS('AT. MEDICAS 2024'!$A$9:$A$874,"19/09/2025",'AT. MEDICAS 2024'!$I$9:$I$874,B226)</f>
        <v>0</v>
      </c>
      <c r="V226" s="30">
        <f>COUNTIFS('AT. MEDICAS 2024'!$A$9:$A$874,"20/09/2025",'AT. MEDICAS 2024'!$I$9:$I$874,B226)</f>
        <v>0</v>
      </c>
      <c r="W226" s="30">
        <f>COUNTIFS('AT. MEDICAS 2024'!$A$9:$A$874,"21/09/2025",'AT. MEDICAS 2024'!$I$9:$I$874,B226)</f>
        <v>0</v>
      </c>
      <c r="X226" s="30">
        <f>COUNTIFS('AT. MEDICAS 2024'!$A$9:$A$874,"22/09/2025",'AT. MEDICAS 2024'!$I$9:$I$874,B226)</f>
        <v>0</v>
      </c>
      <c r="Y226" s="30">
        <f>COUNTIFS('AT. MEDICAS 2024'!$A$9:$A$874,"23/09/2025",'AT. MEDICAS 2024'!$I$9:$I$874,B226)</f>
        <v>0</v>
      </c>
      <c r="Z226" s="30">
        <f>COUNTIFS('AT. MEDICAS 2024'!$A$9:$A$874,"24/09/2025",'AT. MEDICAS 2024'!$I$9:$I$874,B226)</f>
        <v>0</v>
      </c>
      <c r="AA226" s="30">
        <f>COUNTIFS('AT. MEDICAS 2024'!$A$9:$A$874,"25/09/2025",'AT. MEDICAS 2024'!$I$9:$I$874,B226)</f>
        <v>0</v>
      </c>
      <c r="AB226" s="30">
        <f>COUNTIFS('AT. MEDICAS 2024'!$A$9:$A$874,"26/09/2025",'AT. MEDICAS 2024'!$I$9:$I$874,B226)</f>
        <v>0</v>
      </c>
      <c r="AC226" s="30">
        <f>COUNTIFS('AT. MEDICAS 2024'!$A$9:$A$874,"27/09/2025",'AT. MEDICAS 2024'!$I$9:$I$874,B226)</f>
        <v>0</v>
      </c>
      <c r="AD226" s="30">
        <f>COUNTIFS('AT. MEDICAS 2024'!$A$9:$A$874,"28/09/2025",'AT. MEDICAS 2024'!$I$9:$I$874,B226)</f>
        <v>0</v>
      </c>
      <c r="AE226" s="30">
        <f>COUNTIFS('AT. MEDICAS 2024'!$A$9:$A$874,"29/09/2025",'AT. MEDICAS 2024'!$I$9:$I$874,B226)</f>
        <v>0</v>
      </c>
      <c r="AF226" s="30">
        <f>COUNTIFS('AT. MEDICAS 2024'!$A$9:$A$874,"30/09/2025",'AT. MEDICAS 2024'!$I$9:$I$874,B226)</f>
        <v>0</v>
      </c>
      <c r="AG226" s="30"/>
      <c r="AH226" s="55">
        <f t="shared" si="27"/>
        <v>0</v>
      </c>
    </row>
    <row r="227" spans="1:34" ht="13.8" thickBot="1" x14ac:dyDescent="0.3">
      <c r="A227" s="41">
        <v>17</v>
      </c>
      <c r="B227" s="54" t="s">
        <v>72</v>
      </c>
      <c r="C227" s="30">
        <f>COUNTIFS('AT. MEDICAS 2024'!$A$9:$A$874,"01/09/2025",'AT. MEDICAS 2024'!$I$9:$I$874,B227)</f>
        <v>0</v>
      </c>
      <c r="D227" s="30">
        <f>COUNTIFS('AT. MEDICAS 2024'!$A$9:$A$874,"02/09/2025",'AT. MEDICAS 2024'!$I$9:$I$874,B227)</f>
        <v>0</v>
      </c>
      <c r="E227" s="30">
        <f>COUNTIFS('AT. MEDICAS 2024'!$A$9:$A$874,"03/09/2025",'AT. MEDICAS 2024'!$I$9:$I$874,B227)</f>
        <v>0</v>
      </c>
      <c r="F227" s="30">
        <f>COUNTIFS('AT. MEDICAS 2024'!$A$9:$A$874,"04/09/2025",'AT. MEDICAS 2024'!$I$9:$I$874,B227)</f>
        <v>0</v>
      </c>
      <c r="G227" s="30">
        <f>COUNTIFS('AT. MEDICAS 2024'!$A$9:$A$874,"05/09/2025",'AT. MEDICAS 2024'!$I$9:$I$874,B227)</f>
        <v>0</v>
      </c>
      <c r="H227" s="30">
        <f>COUNTIFS('AT. MEDICAS 2024'!$A$9:$A$874,"06/09/2025",'AT. MEDICAS 2024'!$I$9:$I$874,B227)</f>
        <v>0</v>
      </c>
      <c r="I227" s="30">
        <f>COUNTIFS('AT. MEDICAS 2024'!$A$9:$A$874,"07/09/2025",'AT. MEDICAS 2024'!$I$9:$I$874,B227)</f>
        <v>0</v>
      </c>
      <c r="J227" s="30">
        <f>COUNTIFS('AT. MEDICAS 2024'!$A$9:$A$874,"08/09/2025",'AT. MEDICAS 2024'!$I$9:$I$874,B227)</f>
        <v>0</v>
      </c>
      <c r="K227" s="30">
        <f>COUNTIFS('AT. MEDICAS 2024'!$A$9:$A$874,"09/09/2025",'AT. MEDICAS 2024'!$I$9:$I$874,B227)</f>
        <v>0</v>
      </c>
      <c r="L227" s="30">
        <f>COUNTIFS('AT. MEDICAS 2024'!$A$9:$A$874,"10/09/2025",'AT. MEDICAS 2024'!$I$9:$I$874,B227)</f>
        <v>0</v>
      </c>
      <c r="M227" s="30">
        <f>COUNTIFS('AT. MEDICAS 2024'!$A$9:$A$874,"11/09/2025",'AT. MEDICAS 2024'!$I$9:$I$874,B227)</f>
        <v>0</v>
      </c>
      <c r="N227" s="30">
        <f>COUNTIFS('AT. MEDICAS 2024'!$A$9:$A$874,"12/09/2025",'AT. MEDICAS 2024'!$I$9:$I$874,B227)</f>
        <v>0</v>
      </c>
      <c r="O227" s="30">
        <f>COUNTIFS('AT. MEDICAS 2024'!$A$9:$A$874,"13/09/2025",'AT. MEDICAS 2024'!$I$9:$I$874,B227)</f>
        <v>0</v>
      </c>
      <c r="P227" s="30">
        <f>COUNTIFS('AT. MEDICAS 2024'!$A$9:$A$874,"14/09/2025",'AT. MEDICAS 2024'!$I$9:$I$874,B227)</f>
        <v>0</v>
      </c>
      <c r="Q227" s="30">
        <f>COUNTIFS('AT. MEDICAS 2024'!$A$9:$A$874,"15/09/2025",'AT. MEDICAS 2024'!$I$9:$I$874,B227)</f>
        <v>0</v>
      </c>
      <c r="R227" s="30">
        <f>COUNTIFS('AT. MEDICAS 2024'!$A$9:$A$874,"16/09/2025",'AT. MEDICAS 2024'!$I$9:$I$874,B227)</f>
        <v>0</v>
      </c>
      <c r="S227" s="30">
        <f>COUNTIFS('AT. MEDICAS 2024'!$A$9:$A$874,"17/09/2025",'AT. MEDICAS 2024'!$I$9:$I$874,B227)</f>
        <v>0</v>
      </c>
      <c r="T227" s="30">
        <f>COUNTIFS('AT. MEDICAS 2024'!$A$9:$A$874,"18/09/2025",'AT. MEDICAS 2024'!$I$9:$I$874,B227)</f>
        <v>0</v>
      </c>
      <c r="U227" s="30">
        <f>COUNTIFS('AT. MEDICAS 2024'!$A$9:$A$874,"19/09/2025",'AT. MEDICAS 2024'!$I$9:$I$874,B227)</f>
        <v>0</v>
      </c>
      <c r="V227" s="30">
        <f>COUNTIFS('AT. MEDICAS 2024'!$A$9:$A$874,"20/09/2025",'AT. MEDICAS 2024'!$I$9:$I$874,B227)</f>
        <v>0</v>
      </c>
      <c r="W227" s="30">
        <f>COUNTIFS('AT. MEDICAS 2024'!$A$9:$A$874,"21/09/2025",'AT. MEDICAS 2024'!$I$9:$I$874,B227)</f>
        <v>0</v>
      </c>
      <c r="X227" s="30">
        <f>COUNTIFS('AT. MEDICAS 2024'!$A$9:$A$874,"22/09/2025",'AT. MEDICAS 2024'!$I$9:$I$874,B227)</f>
        <v>0</v>
      </c>
      <c r="Y227" s="30">
        <f>COUNTIFS('AT. MEDICAS 2024'!$A$9:$A$874,"23/09/2025",'AT. MEDICAS 2024'!$I$9:$I$874,B227)</f>
        <v>0</v>
      </c>
      <c r="Z227" s="30">
        <f>COUNTIFS('AT. MEDICAS 2024'!$A$9:$A$874,"24/09/2025",'AT. MEDICAS 2024'!$I$9:$I$874,B227)</f>
        <v>0</v>
      </c>
      <c r="AA227" s="30">
        <f>COUNTIFS('AT. MEDICAS 2024'!$A$9:$A$874,"25/09/2025",'AT. MEDICAS 2024'!$I$9:$I$874,B227)</f>
        <v>0</v>
      </c>
      <c r="AB227" s="30">
        <f>COUNTIFS('AT. MEDICAS 2024'!$A$9:$A$874,"26/09/2025",'AT. MEDICAS 2024'!$I$9:$I$874,B227)</f>
        <v>0</v>
      </c>
      <c r="AC227" s="30">
        <f>COUNTIFS('AT. MEDICAS 2024'!$A$9:$A$874,"27/09/2025",'AT. MEDICAS 2024'!$I$9:$I$874,B227)</f>
        <v>0</v>
      </c>
      <c r="AD227" s="30">
        <f>COUNTIFS('AT. MEDICAS 2024'!$A$9:$A$874,"28/09/2025",'AT. MEDICAS 2024'!$I$9:$I$874,B227)</f>
        <v>0</v>
      </c>
      <c r="AE227" s="30">
        <f>COUNTIFS('AT. MEDICAS 2024'!$A$9:$A$874,"29/09/2025",'AT. MEDICAS 2024'!$I$9:$I$874,B227)</f>
        <v>0</v>
      </c>
      <c r="AF227" s="30">
        <f>COUNTIFS('AT. MEDICAS 2024'!$A$9:$A$874,"30/09/2025",'AT. MEDICAS 2024'!$I$9:$I$874,B227)</f>
        <v>0</v>
      </c>
      <c r="AG227" s="30"/>
      <c r="AH227" s="55">
        <f t="shared" si="27"/>
        <v>0</v>
      </c>
    </row>
    <row r="228" spans="1:34" ht="13.8" thickBot="1" x14ac:dyDescent="0.3">
      <c r="A228" s="41">
        <v>18</v>
      </c>
      <c r="B228" s="54" t="s">
        <v>190</v>
      </c>
      <c r="C228" s="30">
        <f>COUNTIFS('AT. MEDICAS 2024'!$A$9:$A$874,"01/09/2025",'AT. MEDICAS 2024'!$I$9:$I$874,B228)</f>
        <v>0</v>
      </c>
      <c r="D228" s="30">
        <f>COUNTIFS('AT. MEDICAS 2024'!$A$9:$A$874,"02/09/2025",'AT. MEDICAS 2024'!$I$9:$I$874,B228)</f>
        <v>0</v>
      </c>
      <c r="E228" s="30">
        <f>COUNTIFS('AT. MEDICAS 2024'!$A$9:$A$874,"03/09/2025",'AT. MEDICAS 2024'!$I$9:$I$874,B228)</f>
        <v>0</v>
      </c>
      <c r="F228" s="30">
        <f>COUNTIFS('AT. MEDICAS 2024'!$A$9:$A$874,"04/09/2025",'AT. MEDICAS 2024'!$I$9:$I$874,B228)</f>
        <v>0</v>
      </c>
      <c r="G228" s="30">
        <f>COUNTIFS('AT. MEDICAS 2024'!$A$9:$A$874,"05/09/2025",'AT. MEDICAS 2024'!$I$9:$I$874,B228)</f>
        <v>0</v>
      </c>
      <c r="H228" s="30">
        <f>COUNTIFS('AT. MEDICAS 2024'!$A$9:$A$874,"06/09/2025",'AT. MEDICAS 2024'!$I$9:$I$874,B228)</f>
        <v>0</v>
      </c>
      <c r="I228" s="30">
        <f>COUNTIFS('AT. MEDICAS 2024'!$A$9:$A$874,"07/09/2025",'AT. MEDICAS 2024'!$I$9:$I$874,B228)</f>
        <v>0</v>
      </c>
      <c r="J228" s="30">
        <f>COUNTIFS('AT. MEDICAS 2024'!$A$9:$A$874,"08/09/2025",'AT. MEDICAS 2024'!$I$9:$I$874,B228)</f>
        <v>0</v>
      </c>
      <c r="K228" s="30">
        <f>COUNTIFS('AT. MEDICAS 2024'!$A$9:$A$874,"09/09/2025",'AT. MEDICAS 2024'!$I$9:$I$874,B228)</f>
        <v>0</v>
      </c>
      <c r="L228" s="30">
        <f>COUNTIFS('AT. MEDICAS 2024'!$A$9:$A$874,"10/09/2025",'AT. MEDICAS 2024'!$I$9:$I$874,B228)</f>
        <v>0</v>
      </c>
      <c r="M228" s="30">
        <f>COUNTIFS('AT. MEDICAS 2024'!$A$9:$A$874,"11/09/2025",'AT. MEDICAS 2024'!$I$9:$I$874,B228)</f>
        <v>0</v>
      </c>
      <c r="N228" s="30">
        <f>COUNTIFS('AT. MEDICAS 2024'!$A$9:$A$874,"12/09/2025",'AT. MEDICAS 2024'!$I$9:$I$874,B228)</f>
        <v>0</v>
      </c>
      <c r="O228" s="30">
        <f>COUNTIFS('AT. MEDICAS 2024'!$A$9:$A$874,"13/09/2025",'AT. MEDICAS 2024'!$I$9:$I$874,B228)</f>
        <v>0</v>
      </c>
      <c r="P228" s="30">
        <f>COUNTIFS('AT. MEDICAS 2024'!$A$9:$A$874,"14/09/2025",'AT. MEDICAS 2024'!$I$9:$I$874,B228)</f>
        <v>0</v>
      </c>
      <c r="Q228" s="30">
        <f>COUNTIFS('AT. MEDICAS 2024'!$A$9:$A$874,"15/09/2025",'AT. MEDICAS 2024'!$I$9:$I$874,B228)</f>
        <v>0</v>
      </c>
      <c r="R228" s="30">
        <f>COUNTIFS('AT. MEDICAS 2024'!$A$9:$A$874,"16/09/2025",'AT. MEDICAS 2024'!$I$9:$I$874,B228)</f>
        <v>0</v>
      </c>
      <c r="S228" s="30">
        <f>COUNTIFS('AT. MEDICAS 2024'!$A$9:$A$874,"17/09/2025",'AT. MEDICAS 2024'!$I$9:$I$874,B228)</f>
        <v>0</v>
      </c>
      <c r="T228" s="30">
        <f>COUNTIFS('AT. MEDICAS 2024'!$A$9:$A$874,"18/09/2025",'AT. MEDICAS 2024'!$I$9:$I$874,B228)</f>
        <v>0</v>
      </c>
      <c r="U228" s="30">
        <f>COUNTIFS('AT. MEDICAS 2024'!$A$9:$A$874,"19/09/2025",'AT. MEDICAS 2024'!$I$9:$I$874,B228)</f>
        <v>0</v>
      </c>
      <c r="V228" s="30">
        <f>COUNTIFS('AT. MEDICAS 2024'!$A$9:$A$874,"20/09/2025",'AT. MEDICAS 2024'!$I$9:$I$874,B228)</f>
        <v>0</v>
      </c>
      <c r="W228" s="30">
        <f>COUNTIFS('AT. MEDICAS 2024'!$A$9:$A$874,"21/09/2025",'AT. MEDICAS 2024'!$I$9:$I$874,B228)</f>
        <v>0</v>
      </c>
      <c r="X228" s="30">
        <f>COUNTIFS('AT. MEDICAS 2024'!$A$9:$A$874,"22/09/2025",'AT. MEDICAS 2024'!$I$9:$I$874,B228)</f>
        <v>0</v>
      </c>
      <c r="Y228" s="30">
        <f>COUNTIFS('AT. MEDICAS 2024'!$A$9:$A$874,"23/09/2025",'AT. MEDICAS 2024'!$I$9:$I$874,B228)</f>
        <v>0</v>
      </c>
      <c r="Z228" s="30">
        <f>COUNTIFS('AT. MEDICAS 2024'!$A$9:$A$874,"24/09/2025",'AT. MEDICAS 2024'!$I$9:$I$874,B228)</f>
        <v>0</v>
      </c>
      <c r="AA228" s="30">
        <f>COUNTIFS('AT. MEDICAS 2024'!$A$9:$A$874,"25/09/2025",'AT. MEDICAS 2024'!$I$9:$I$874,B228)</f>
        <v>0</v>
      </c>
      <c r="AB228" s="30">
        <f>COUNTIFS('AT. MEDICAS 2024'!$A$9:$A$874,"26/09/2025",'AT. MEDICAS 2024'!$I$9:$I$874,B228)</f>
        <v>0</v>
      </c>
      <c r="AC228" s="30">
        <f>COUNTIFS('AT. MEDICAS 2024'!$A$9:$A$874,"27/09/2025",'AT. MEDICAS 2024'!$I$9:$I$874,B228)</f>
        <v>0</v>
      </c>
      <c r="AD228" s="30">
        <f>COUNTIFS('AT. MEDICAS 2024'!$A$9:$A$874,"28/09/2025",'AT. MEDICAS 2024'!$I$9:$I$874,B228)</f>
        <v>0</v>
      </c>
      <c r="AE228" s="30">
        <f>COUNTIFS('AT. MEDICAS 2024'!$A$9:$A$874,"29/09/2025",'AT. MEDICAS 2024'!$I$9:$I$874,B228)</f>
        <v>0</v>
      </c>
      <c r="AF228" s="30">
        <f>COUNTIFS('AT. MEDICAS 2024'!$A$9:$A$874,"30/09/2025",'AT. MEDICAS 2024'!$I$9:$I$874,B228)</f>
        <v>0</v>
      </c>
      <c r="AG228" s="30"/>
      <c r="AH228" s="55">
        <f t="shared" si="27"/>
        <v>0</v>
      </c>
    </row>
    <row r="229" spans="1:34" ht="13.8" thickBot="1" x14ac:dyDescent="0.3">
      <c r="A229" s="41">
        <v>19</v>
      </c>
      <c r="B229" s="54" t="s">
        <v>118</v>
      </c>
      <c r="C229" s="30">
        <f>COUNTIFS('AT. MEDICAS 2024'!$A$9:$A$874,"01/09/2025",'AT. MEDICAS 2024'!$I$9:$I$874,B229)</f>
        <v>0</v>
      </c>
      <c r="D229" s="30">
        <f>COUNTIFS('AT. MEDICAS 2024'!$A$9:$A$874,"02/09/2025",'AT. MEDICAS 2024'!$I$9:$I$874,B229)</f>
        <v>0</v>
      </c>
      <c r="E229" s="30">
        <f>COUNTIFS('AT. MEDICAS 2024'!$A$9:$A$874,"03/09/2025",'AT. MEDICAS 2024'!$I$9:$I$874,B229)</f>
        <v>0</v>
      </c>
      <c r="F229" s="30">
        <f>COUNTIFS('AT. MEDICAS 2024'!$A$9:$A$874,"04/09/2025",'AT. MEDICAS 2024'!$I$9:$I$874,B229)</f>
        <v>0</v>
      </c>
      <c r="G229" s="30">
        <f>COUNTIFS('AT. MEDICAS 2024'!$A$9:$A$874,"05/09/2025",'AT. MEDICAS 2024'!$I$9:$I$874,B229)</f>
        <v>0</v>
      </c>
      <c r="H229" s="30">
        <f>COUNTIFS('AT. MEDICAS 2024'!$A$9:$A$874,"06/09/2025",'AT. MEDICAS 2024'!$I$9:$I$874,B229)</f>
        <v>0</v>
      </c>
      <c r="I229" s="30">
        <f>COUNTIFS('AT. MEDICAS 2024'!$A$9:$A$874,"07/09/2025",'AT. MEDICAS 2024'!$I$9:$I$874,B229)</f>
        <v>0</v>
      </c>
      <c r="J229" s="30">
        <f>COUNTIFS('AT. MEDICAS 2024'!$A$9:$A$874,"08/09/2025",'AT. MEDICAS 2024'!$I$9:$I$874,B229)</f>
        <v>0</v>
      </c>
      <c r="K229" s="30">
        <f>COUNTIFS('AT. MEDICAS 2024'!$A$9:$A$874,"09/09/2025",'AT. MEDICAS 2024'!$I$9:$I$874,B229)</f>
        <v>0</v>
      </c>
      <c r="L229" s="30">
        <f>COUNTIFS('AT. MEDICAS 2024'!$A$9:$A$874,"10/09/2025",'AT. MEDICAS 2024'!$I$9:$I$874,B229)</f>
        <v>0</v>
      </c>
      <c r="M229" s="30">
        <f>COUNTIFS('AT. MEDICAS 2024'!$A$9:$A$874,"11/09/2025",'AT. MEDICAS 2024'!$I$9:$I$874,B229)</f>
        <v>0</v>
      </c>
      <c r="N229" s="30">
        <f>COUNTIFS('AT. MEDICAS 2024'!$A$9:$A$874,"12/09/2025",'AT. MEDICAS 2024'!$I$9:$I$874,B229)</f>
        <v>0</v>
      </c>
      <c r="O229" s="30">
        <f>COUNTIFS('AT. MEDICAS 2024'!$A$9:$A$874,"13/09/2025",'AT. MEDICAS 2024'!$I$9:$I$874,B229)</f>
        <v>0</v>
      </c>
      <c r="P229" s="30">
        <f>COUNTIFS('AT. MEDICAS 2024'!$A$9:$A$874,"14/09/2025",'AT. MEDICAS 2024'!$I$9:$I$874,B229)</f>
        <v>0</v>
      </c>
      <c r="Q229" s="30">
        <f>COUNTIFS('AT. MEDICAS 2024'!$A$9:$A$874,"15/09/2025",'AT. MEDICAS 2024'!$I$9:$I$874,B229)</f>
        <v>0</v>
      </c>
      <c r="R229" s="30">
        <f>COUNTIFS('AT. MEDICAS 2024'!$A$9:$A$874,"16/09/2025",'AT. MEDICAS 2024'!$I$9:$I$874,B229)</f>
        <v>0</v>
      </c>
      <c r="S229" s="30">
        <f>COUNTIFS('AT. MEDICAS 2024'!$A$9:$A$874,"17/09/2025",'AT. MEDICAS 2024'!$I$9:$I$874,B229)</f>
        <v>0</v>
      </c>
      <c r="T229" s="30">
        <f>COUNTIFS('AT. MEDICAS 2024'!$A$9:$A$874,"18/09/2025",'AT. MEDICAS 2024'!$I$9:$I$874,B229)</f>
        <v>0</v>
      </c>
      <c r="U229" s="30">
        <f>COUNTIFS('AT. MEDICAS 2024'!$A$9:$A$874,"19/09/2025",'AT. MEDICAS 2024'!$I$9:$I$874,B229)</f>
        <v>0</v>
      </c>
      <c r="V229" s="30">
        <f>COUNTIFS('AT. MEDICAS 2024'!$A$9:$A$874,"20/09/2025",'AT. MEDICAS 2024'!$I$9:$I$874,B229)</f>
        <v>0</v>
      </c>
      <c r="W229" s="30">
        <f>COUNTIFS('AT. MEDICAS 2024'!$A$9:$A$874,"21/09/2025",'AT. MEDICAS 2024'!$I$9:$I$874,B229)</f>
        <v>0</v>
      </c>
      <c r="X229" s="30">
        <f>COUNTIFS('AT. MEDICAS 2024'!$A$9:$A$874,"22/09/2025",'AT. MEDICAS 2024'!$I$9:$I$874,B229)</f>
        <v>0</v>
      </c>
      <c r="Y229" s="30">
        <f>COUNTIFS('AT. MEDICAS 2024'!$A$9:$A$874,"23/09/2025",'AT. MEDICAS 2024'!$I$9:$I$874,B229)</f>
        <v>0</v>
      </c>
      <c r="Z229" s="30">
        <f>COUNTIFS('AT. MEDICAS 2024'!$A$9:$A$874,"24/09/2025",'AT. MEDICAS 2024'!$I$9:$I$874,B229)</f>
        <v>0</v>
      </c>
      <c r="AA229" s="30">
        <f>COUNTIFS('AT. MEDICAS 2024'!$A$9:$A$874,"25/09/2025",'AT. MEDICAS 2024'!$I$9:$I$874,B229)</f>
        <v>0</v>
      </c>
      <c r="AB229" s="30">
        <f>COUNTIFS('AT. MEDICAS 2024'!$A$9:$A$874,"26/09/2025",'AT. MEDICAS 2024'!$I$9:$I$874,B229)</f>
        <v>0</v>
      </c>
      <c r="AC229" s="30">
        <f>COUNTIFS('AT. MEDICAS 2024'!$A$9:$A$874,"27/09/2025",'AT. MEDICAS 2024'!$I$9:$I$874,B229)</f>
        <v>0</v>
      </c>
      <c r="AD229" s="30">
        <f>COUNTIFS('AT. MEDICAS 2024'!$A$9:$A$874,"28/09/2025",'AT. MEDICAS 2024'!$I$9:$I$874,B229)</f>
        <v>0</v>
      </c>
      <c r="AE229" s="30">
        <f>COUNTIFS('AT. MEDICAS 2024'!$A$9:$A$874,"29/09/2025",'AT. MEDICAS 2024'!$I$9:$I$874,B229)</f>
        <v>0</v>
      </c>
      <c r="AF229" s="30">
        <f>COUNTIFS('AT. MEDICAS 2024'!$A$9:$A$874,"30/09/2025",'AT. MEDICAS 2024'!$I$9:$I$874,B229)</f>
        <v>0</v>
      </c>
      <c r="AG229" s="30"/>
      <c r="AH229" s="55">
        <f t="shared" si="27"/>
        <v>0</v>
      </c>
    </row>
    <row r="230" spans="1:34" ht="13.8" thickBot="1" x14ac:dyDescent="0.3">
      <c r="A230" s="41">
        <v>20</v>
      </c>
      <c r="B230" s="54" t="s">
        <v>31</v>
      </c>
      <c r="C230" s="30">
        <f>COUNTIFS('AT. MEDICAS 2024'!$A$9:$A$874,"01/09/2025",'AT. MEDICAS 2024'!$I$9:$I$874,B230)</f>
        <v>0</v>
      </c>
      <c r="D230" s="30">
        <f>COUNTIFS('AT. MEDICAS 2024'!$A$9:$A$874,"02/09/2025",'AT. MEDICAS 2024'!$I$9:$I$874,B230)</f>
        <v>0</v>
      </c>
      <c r="E230" s="30">
        <f>COUNTIFS('AT. MEDICAS 2024'!$A$9:$A$874,"03/09/2025",'AT. MEDICAS 2024'!$I$9:$I$874,B230)</f>
        <v>0</v>
      </c>
      <c r="F230" s="30">
        <f>COUNTIFS('AT. MEDICAS 2024'!$A$9:$A$874,"04/09/2025",'AT. MEDICAS 2024'!$I$9:$I$874,B230)</f>
        <v>0</v>
      </c>
      <c r="G230" s="30">
        <f>COUNTIFS('AT. MEDICAS 2024'!$A$9:$A$874,"05/09/2025",'AT. MEDICAS 2024'!$I$9:$I$874,B230)</f>
        <v>0</v>
      </c>
      <c r="H230" s="30">
        <f>COUNTIFS('AT. MEDICAS 2024'!$A$9:$A$874,"06/09/2025",'AT. MEDICAS 2024'!$I$9:$I$874,B230)</f>
        <v>0</v>
      </c>
      <c r="I230" s="30">
        <f>COUNTIFS('AT. MEDICAS 2024'!$A$9:$A$874,"07/09/2025",'AT. MEDICAS 2024'!$I$9:$I$874,B230)</f>
        <v>0</v>
      </c>
      <c r="J230" s="30">
        <f>COUNTIFS('AT. MEDICAS 2024'!$A$9:$A$874,"08/09/2025",'AT. MEDICAS 2024'!$I$9:$I$874,B230)</f>
        <v>0</v>
      </c>
      <c r="K230" s="30">
        <f>COUNTIFS('AT. MEDICAS 2024'!$A$9:$A$874,"09/09/2025",'AT. MEDICAS 2024'!$I$9:$I$874,B230)</f>
        <v>0</v>
      </c>
      <c r="L230" s="30">
        <f>COUNTIFS('AT. MEDICAS 2024'!$A$9:$A$874,"10/09/2025",'AT. MEDICAS 2024'!$I$9:$I$874,B230)</f>
        <v>0</v>
      </c>
      <c r="M230" s="30">
        <f>COUNTIFS('AT. MEDICAS 2024'!$A$9:$A$874,"11/09/2025",'AT. MEDICAS 2024'!$I$9:$I$874,B230)</f>
        <v>0</v>
      </c>
      <c r="N230" s="30">
        <f>COUNTIFS('AT. MEDICAS 2024'!$A$9:$A$874,"12/09/2025",'AT. MEDICAS 2024'!$I$9:$I$874,B230)</f>
        <v>0</v>
      </c>
      <c r="O230" s="30">
        <f>COUNTIFS('AT. MEDICAS 2024'!$A$9:$A$874,"13/09/2025",'AT. MEDICAS 2024'!$I$9:$I$874,B230)</f>
        <v>0</v>
      </c>
      <c r="P230" s="30">
        <f>COUNTIFS('AT. MEDICAS 2024'!$A$9:$A$874,"14/09/2025",'AT. MEDICAS 2024'!$I$9:$I$874,B230)</f>
        <v>0</v>
      </c>
      <c r="Q230" s="30">
        <f>COUNTIFS('AT. MEDICAS 2024'!$A$9:$A$874,"15/09/2025",'AT. MEDICAS 2024'!$I$9:$I$874,B230)</f>
        <v>0</v>
      </c>
      <c r="R230" s="30">
        <f>COUNTIFS('AT. MEDICAS 2024'!$A$9:$A$874,"16/09/2025",'AT. MEDICAS 2024'!$I$9:$I$874,B230)</f>
        <v>0</v>
      </c>
      <c r="S230" s="30">
        <f>COUNTIFS('AT. MEDICAS 2024'!$A$9:$A$874,"17/09/2025",'AT. MEDICAS 2024'!$I$9:$I$874,B230)</f>
        <v>0</v>
      </c>
      <c r="T230" s="30">
        <f>COUNTIFS('AT. MEDICAS 2024'!$A$9:$A$874,"18/09/2025",'AT. MEDICAS 2024'!$I$9:$I$874,B230)</f>
        <v>0</v>
      </c>
      <c r="U230" s="30">
        <f>COUNTIFS('AT. MEDICAS 2024'!$A$9:$A$874,"19/09/2025",'AT. MEDICAS 2024'!$I$9:$I$874,B230)</f>
        <v>0</v>
      </c>
      <c r="V230" s="30">
        <f>COUNTIFS('AT. MEDICAS 2024'!$A$9:$A$874,"20/09/2025",'AT. MEDICAS 2024'!$I$9:$I$874,B230)</f>
        <v>0</v>
      </c>
      <c r="W230" s="30">
        <f>COUNTIFS('AT. MEDICAS 2024'!$A$9:$A$874,"21/09/2025",'AT. MEDICAS 2024'!$I$9:$I$874,B230)</f>
        <v>0</v>
      </c>
      <c r="X230" s="30">
        <f>COUNTIFS('AT. MEDICAS 2024'!$A$9:$A$874,"22/09/2025",'AT. MEDICAS 2024'!$I$9:$I$874,B230)</f>
        <v>0</v>
      </c>
      <c r="Y230" s="30">
        <f>COUNTIFS('AT. MEDICAS 2024'!$A$9:$A$874,"23/09/2025",'AT. MEDICAS 2024'!$I$9:$I$874,B230)</f>
        <v>0</v>
      </c>
      <c r="Z230" s="30">
        <f>COUNTIFS('AT. MEDICAS 2024'!$A$9:$A$874,"24/09/2025",'AT. MEDICAS 2024'!$I$9:$I$874,B230)</f>
        <v>0</v>
      </c>
      <c r="AA230" s="30">
        <f>COUNTIFS('AT. MEDICAS 2024'!$A$9:$A$874,"25/09/2025",'AT. MEDICAS 2024'!$I$9:$I$874,B230)</f>
        <v>0</v>
      </c>
      <c r="AB230" s="30">
        <f>COUNTIFS('AT. MEDICAS 2024'!$A$9:$A$874,"26/09/2025",'AT. MEDICAS 2024'!$I$9:$I$874,B230)</f>
        <v>0</v>
      </c>
      <c r="AC230" s="30">
        <f>COUNTIFS('AT. MEDICAS 2024'!$A$9:$A$874,"27/09/2025",'AT. MEDICAS 2024'!$I$9:$I$874,B230)</f>
        <v>0</v>
      </c>
      <c r="AD230" s="30">
        <f>COUNTIFS('AT. MEDICAS 2024'!$A$9:$A$874,"28/09/2025",'AT. MEDICAS 2024'!$I$9:$I$874,B230)</f>
        <v>0</v>
      </c>
      <c r="AE230" s="30">
        <f>COUNTIFS('AT. MEDICAS 2024'!$A$9:$A$874,"29/09/2025",'AT. MEDICAS 2024'!$I$9:$I$874,B230)</f>
        <v>0</v>
      </c>
      <c r="AF230" s="30">
        <f>COUNTIFS('AT. MEDICAS 2024'!$A$9:$A$874,"30/09/2025",'AT. MEDICAS 2024'!$I$9:$I$874,B230)</f>
        <v>0</v>
      </c>
      <c r="AG230" s="30"/>
      <c r="AH230" s="55">
        <f t="shared" si="27"/>
        <v>0</v>
      </c>
    </row>
    <row r="231" spans="1:34" ht="18.600000000000001" customHeight="1" thickBot="1" x14ac:dyDescent="0.3">
      <c r="A231" s="92"/>
      <c r="B231" s="93"/>
      <c r="C231" s="55">
        <f>SUM(C211:C230)</f>
        <v>0</v>
      </c>
      <c r="D231" s="55">
        <f t="shared" ref="D231:AE231" si="28">SUM(D211:D230)</f>
        <v>0</v>
      </c>
      <c r="E231" s="55">
        <f t="shared" si="28"/>
        <v>0</v>
      </c>
      <c r="F231" s="55">
        <f t="shared" si="28"/>
        <v>0</v>
      </c>
      <c r="G231" s="55">
        <f t="shared" si="28"/>
        <v>0</v>
      </c>
      <c r="H231" s="55">
        <f t="shared" si="28"/>
        <v>0</v>
      </c>
      <c r="I231" s="55">
        <f t="shared" si="28"/>
        <v>0</v>
      </c>
      <c r="J231" s="55">
        <f t="shared" si="28"/>
        <v>0</v>
      </c>
      <c r="K231" s="55">
        <f t="shared" si="28"/>
        <v>0</v>
      </c>
      <c r="L231" s="55">
        <f t="shared" si="28"/>
        <v>0</v>
      </c>
      <c r="M231" s="55">
        <f t="shared" si="28"/>
        <v>0</v>
      </c>
      <c r="N231" s="55">
        <f t="shared" si="28"/>
        <v>0</v>
      </c>
      <c r="O231" s="55">
        <f t="shared" si="28"/>
        <v>0</v>
      </c>
      <c r="P231" s="55">
        <f t="shared" si="28"/>
        <v>0</v>
      </c>
      <c r="Q231" s="55">
        <f t="shared" si="28"/>
        <v>0</v>
      </c>
      <c r="R231" s="55">
        <f t="shared" si="28"/>
        <v>0</v>
      </c>
      <c r="S231" s="55">
        <f t="shared" si="28"/>
        <v>0</v>
      </c>
      <c r="T231" s="55">
        <f t="shared" si="28"/>
        <v>0</v>
      </c>
      <c r="U231" s="55">
        <f t="shared" si="28"/>
        <v>0</v>
      </c>
      <c r="V231" s="55">
        <f t="shared" si="28"/>
        <v>0</v>
      </c>
      <c r="W231" s="55">
        <f t="shared" si="28"/>
        <v>0</v>
      </c>
      <c r="X231" s="55">
        <f t="shared" si="28"/>
        <v>0</v>
      </c>
      <c r="Y231" s="55">
        <f t="shared" si="28"/>
        <v>0</v>
      </c>
      <c r="Z231" s="55">
        <f t="shared" si="28"/>
        <v>0</v>
      </c>
      <c r="AA231" s="55">
        <f t="shared" si="28"/>
        <v>0</v>
      </c>
      <c r="AB231" s="55">
        <f t="shared" si="28"/>
        <v>0</v>
      </c>
      <c r="AC231" s="55">
        <f t="shared" si="28"/>
        <v>0</v>
      </c>
      <c r="AD231" s="55">
        <f t="shared" si="28"/>
        <v>0</v>
      </c>
      <c r="AE231" s="55">
        <f t="shared" si="28"/>
        <v>0</v>
      </c>
      <c r="AF231" s="55">
        <f>SUM(AF211:AF230)</f>
        <v>0</v>
      </c>
      <c r="AG231" s="55">
        <f>SUM(AG211:AG230)</f>
        <v>0</v>
      </c>
      <c r="AH231" s="30">
        <f>SUM(AH211:AH230)</f>
        <v>0</v>
      </c>
    </row>
    <row r="233" spans="1:34" ht="24" customHeight="1" x14ac:dyDescent="0.25">
      <c r="A233" s="92" t="s">
        <v>174</v>
      </c>
      <c r="B233" s="93"/>
      <c r="C233" s="111">
        <v>45931</v>
      </c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12"/>
      <c r="AG233" s="112"/>
      <c r="AH233" s="113" t="s">
        <v>178</v>
      </c>
    </row>
    <row r="234" spans="1:34" ht="13.8" thickBot="1" x14ac:dyDescent="0.3">
      <c r="A234" s="115" t="s">
        <v>175</v>
      </c>
      <c r="B234" s="115" t="s">
        <v>176</v>
      </c>
      <c r="C234" s="45">
        <v>1</v>
      </c>
      <c r="D234" s="45">
        <v>2</v>
      </c>
      <c r="E234" s="45">
        <v>3</v>
      </c>
      <c r="F234" s="45">
        <v>4</v>
      </c>
      <c r="G234" s="45">
        <v>5</v>
      </c>
      <c r="H234" s="45">
        <v>6</v>
      </c>
      <c r="I234" s="45">
        <v>7</v>
      </c>
      <c r="J234" s="45">
        <v>8</v>
      </c>
      <c r="K234" s="45">
        <v>9</v>
      </c>
      <c r="L234" s="45">
        <v>10</v>
      </c>
      <c r="M234" s="45">
        <v>11</v>
      </c>
      <c r="N234" s="45">
        <v>12</v>
      </c>
      <c r="O234" s="45">
        <v>13</v>
      </c>
      <c r="P234" s="45">
        <v>14</v>
      </c>
      <c r="Q234" s="45">
        <v>15</v>
      </c>
      <c r="R234" s="45">
        <v>16</v>
      </c>
      <c r="S234" s="45">
        <v>17</v>
      </c>
      <c r="T234" s="45">
        <v>18</v>
      </c>
      <c r="U234" s="45">
        <v>19</v>
      </c>
      <c r="V234" s="45">
        <v>20</v>
      </c>
      <c r="W234" s="45">
        <v>21</v>
      </c>
      <c r="X234" s="45">
        <v>22</v>
      </c>
      <c r="Y234" s="45">
        <v>23</v>
      </c>
      <c r="Z234" s="45">
        <v>24</v>
      </c>
      <c r="AA234" s="45">
        <v>25</v>
      </c>
      <c r="AB234" s="45">
        <v>26</v>
      </c>
      <c r="AC234" s="45">
        <v>27</v>
      </c>
      <c r="AD234" s="45">
        <v>28</v>
      </c>
      <c r="AE234" s="45">
        <v>29</v>
      </c>
      <c r="AF234" s="45">
        <v>30</v>
      </c>
      <c r="AG234" s="45" t="s">
        <v>177</v>
      </c>
      <c r="AH234" s="114"/>
    </row>
    <row r="235" spans="1:34" ht="13.8" thickBot="1" x14ac:dyDescent="0.3">
      <c r="A235" s="116"/>
      <c r="B235" s="116"/>
      <c r="C235" s="28" t="s">
        <v>24</v>
      </c>
      <c r="D235" s="28" t="s">
        <v>180</v>
      </c>
      <c r="E235" s="28" t="s">
        <v>181</v>
      </c>
      <c r="F235" s="28" t="s">
        <v>182</v>
      </c>
      <c r="G235" s="28" t="s">
        <v>183</v>
      </c>
      <c r="H235" s="28" t="s">
        <v>179</v>
      </c>
      <c r="I235" s="28" t="s">
        <v>24</v>
      </c>
      <c r="J235" s="28" t="s">
        <v>24</v>
      </c>
      <c r="K235" s="28" t="s">
        <v>180</v>
      </c>
      <c r="L235" s="28" t="s">
        <v>181</v>
      </c>
      <c r="M235" s="28" t="s">
        <v>182</v>
      </c>
      <c r="N235" s="28" t="s">
        <v>183</v>
      </c>
      <c r="O235" s="28" t="s">
        <v>179</v>
      </c>
      <c r="P235" s="28" t="s">
        <v>24</v>
      </c>
      <c r="Q235" s="28" t="s">
        <v>24</v>
      </c>
      <c r="R235" s="28" t="s">
        <v>180</v>
      </c>
      <c r="S235" s="28" t="s">
        <v>181</v>
      </c>
      <c r="T235" s="28" t="s">
        <v>182</v>
      </c>
      <c r="U235" s="28" t="s">
        <v>183</v>
      </c>
      <c r="V235" s="28" t="s">
        <v>179</v>
      </c>
      <c r="W235" s="28" t="s">
        <v>24</v>
      </c>
      <c r="X235" s="28" t="s">
        <v>24</v>
      </c>
      <c r="Y235" s="28" t="s">
        <v>180</v>
      </c>
      <c r="Z235" s="28" t="s">
        <v>181</v>
      </c>
      <c r="AA235" s="28" t="s">
        <v>182</v>
      </c>
      <c r="AB235" s="28" t="s">
        <v>183</v>
      </c>
      <c r="AC235" s="28" t="s">
        <v>179</v>
      </c>
      <c r="AD235" s="28" t="s">
        <v>24</v>
      </c>
      <c r="AE235" s="28" t="s">
        <v>24</v>
      </c>
      <c r="AF235" s="28" t="s">
        <v>180</v>
      </c>
      <c r="AG235" s="28" t="s">
        <v>181</v>
      </c>
      <c r="AH235" s="17" t="s">
        <v>184</v>
      </c>
    </row>
    <row r="236" spans="1:34" ht="13.8" thickBot="1" x14ac:dyDescent="0.3">
      <c r="A236" s="41">
        <v>1</v>
      </c>
      <c r="B236" s="54" t="s">
        <v>185</v>
      </c>
      <c r="C236" s="30">
        <f>COUNTIFS('AT. MEDICAS 2024'!$A$9:$A$874,"01/10/2025",'AT. MEDICAS 2024'!$I$9:$I$874,B236)</f>
        <v>0</v>
      </c>
      <c r="D236" s="30">
        <f>COUNTIFS('AT. MEDICAS 2024'!$A$9:$A$874,"02/10/2025",'AT. MEDICAS 2024'!$I$9:$I$874,B236)</f>
        <v>0</v>
      </c>
      <c r="E236" s="30">
        <f>COUNTIFS('AT. MEDICAS 2024'!$A$9:$A$874,"03/10/2025",'AT. MEDICAS 2024'!$I$9:$I$874,B236)</f>
        <v>0</v>
      </c>
      <c r="F236" s="30">
        <f>COUNTIFS('AT. MEDICAS 2024'!$A$9:$A$874,"04/10/2025",'AT. MEDICAS 2024'!$I$9:$I$874,B236)</f>
        <v>0</v>
      </c>
      <c r="G236" s="30">
        <f>COUNTIFS('AT. MEDICAS 2024'!$A$9:$A$874,"05/10/2025",'AT. MEDICAS 2024'!$I$9:$I$874,B236)</f>
        <v>0</v>
      </c>
      <c r="H236" s="30">
        <f>COUNTIFS('AT. MEDICAS 2024'!$A$9:$A$874,"06/10/2025",'AT. MEDICAS 2024'!$I$9:$I$874,B236)</f>
        <v>0</v>
      </c>
      <c r="I236" s="30">
        <f>COUNTIFS('AT. MEDICAS 2024'!$A$9:$A$874,"07/10/2025",'AT. MEDICAS 2024'!$I$9:$I$874,B236)</f>
        <v>0</v>
      </c>
      <c r="J236" s="30">
        <f>COUNTIFS('AT. MEDICAS 2024'!$A$9:$A$874,"08/10/2025",'AT. MEDICAS 2024'!$I$9:$I$874,B236)</f>
        <v>0</v>
      </c>
      <c r="K236" s="30">
        <f>COUNTIFS('AT. MEDICAS 2024'!$A$9:$A$874,"09/10/2025",'AT. MEDICAS 2024'!$I$9:$I$874,B236)</f>
        <v>0</v>
      </c>
      <c r="L236" s="30">
        <f>COUNTIFS('AT. MEDICAS 2024'!$A$9:$A$874,"10/10/2025",'AT. MEDICAS 2024'!$I$9:$I$874,B236)</f>
        <v>0</v>
      </c>
      <c r="M236" s="30">
        <f>COUNTIFS('AT. MEDICAS 2024'!$A$9:$A$874,"11/10/2025",'AT. MEDICAS 2024'!$I$9:$I$874,B236)</f>
        <v>0</v>
      </c>
      <c r="N236" s="30">
        <f>COUNTIFS('AT. MEDICAS 2024'!$A$9:$A$874,"12/10/2025",'AT. MEDICAS 2024'!$I$9:$I$874,B236)</f>
        <v>0</v>
      </c>
      <c r="O236" s="30">
        <f>COUNTIFS('AT. MEDICAS 2024'!$A$9:$A$874,"13/10/2025",'AT. MEDICAS 2024'!$I$9:$I$874,B236)</f>
        <v>0</v>
      </c>
      <c r="P236" s="30">
        <f>COUNTIFS('AT. MEDICAS 2024'!$A$9:$A$874,"14/10/2025",'AT. MEDICAS 2024'!$I$9:$I$874,B236)</f>
        <v>0</v>
      </c>
      <c r="Q236" s="30">
        <f>COUNTIFS('AT. MEDICAS 2024'!$A$9:$A$874,"15/10/2025",'AT. MEDICAS 2024'!$I$9:$I$874,B236)</f>
        <v>0</v>
      </c>
      <c r="R236" s="30">
        <f>COUNTIFS('AT. MEDICAS 2024'!$A$9:$A$874,"16/10/2025",'AT. MEDICAS 2024'!$I$9:$I$874,B236)</f>
        <v>0</v>
      </c>
      <c r="S236" s="30">
        <f>COUNTIFS('AT. MEDICAS 2024'!$A$9:$A$874,"17/10/2025",'AT. MEDICAS 2024'!$I$9:$I$874,B236)</f>
        <v>0</v>
      </c>
      <c r="T236" s="30">
        <f>COUNTIFS('AT. MEDICAS 2024'!$A$9:$A$874,"18/10/2025",'AT. MEDICAS 2024'!$I$9:$I$874,B236)</f>
        <v>0</v>
      </c>
      <c r="U236" s="30">
        <f>COUNTIFS('AT. MEDICAS 2024'!$A$9:$A$874,"19/10/2025",'AT. MEDICAS 2024'!$I$9:$I$874,B236)</f>
        <v>0</v>
      </c>
      <c r="V236" s="30">
        <f>COUNTIFS('AT. MEDICAS 2024'!$A$9:$A$874,"20/10/2025",'AT. MEDICAS 2024'!$I$9:$I$874,B236)</f>
        <v>0</v>
      </c>
      <c r="W236" s="30">
        <f>COUNTIFS('AT. MEDICAS 2024'!$A$9:$A$874,"21/10/2025",'AT. MEDICAS 2024'!$I$9:$I$874,B236)</f>
        <v>0</v>
      </c>
      <c r="X236" s="30">
        <f>COUNTIFS('AT. MEDICAS 2024'!$A$9:$A$874,"22/10/2025",'AT. MEDICAS 2024'!$I$9:$I$874,B236)</f>
        <v>0</v>
      </c>
      <c r="Y236" s="30">
        <f>COUNTIFS('AT. MEDICAS 2024'!$A$9:$A$874,"23/10/2025",'AT. MEDICAS 2024'!$I$9:$I$874,B236)</f>
        <v>0</v>
      </c>
      <c r="Z236" s="30">
        <f>COUNTIFS('AT. MEDICAS 2024'!$A$9:$A$874,"24/10/2025",'AT. MEDICAS 2024'!$I$9:$I$874,B236)</f>
        <v>0</v>
      </c>
      <c r="AA236" s="30">
        <f>COUNTIFS('AT. MEDICAS 2024'!$A$9:$A$874,"25/10/2025",'AT. MEDICAS 2024'!$I$9:$I$874,B236)</f>
        <v>0</v>
      </c>
      <c r="AB236" s="30">
        <f>COUNTIFS('AT. MEDICAS 2024'!$A$9:$A$874,"26/10/2025",'AT. MEDICAS 2024'!$I$9:$I$874,B236)</f>
        <v>0</v>
      </c>
      <c r="AC236" s="30">
        <f>COUNTIFS('AT. MEDICAS 2024'!$A$9:$A$874,"27/10/2025",'AT. MEDICAS 2024'!$I$9:$I$874,B236)</f>
        <v>0</v>
      </c>
      <c r="AD236" s="30">
        <f>COUNTIFS('AT. MEDICAS 2024'!$A$9:$A$874,"28/10/2025",'AT. MEDICAS 2024'!$I$9:$I$874,B236)</f>
        <v>0</v>
      </c>
      <c r="AE236" s="30">
        <f>COUNTIFS('AT. MEDICAS 2024'!$A$9:$A$874,"29/10/2025",'AT. MEDICAS 2024'!$I$9:$I$874,B236)</f>
        <v>0</v>
      </c>
      <c r="AF236" s="30">
        <f>COUNTIFS('AT. MEDICAS 2024'!$A$9:$A$874,"30/10/2025",'AT. MEDICAS 2024'!$I$9:$I$874,B236)</f>
        <v>0</v>
      </c>
      <c r="AG236" s="30">
        <f>COUNTIFS('AT. MEDICAS 2024'!$A$9:$A$874,"31/10/2025",'AT. MEDICAS 2024'!$I$9:$I$874,B236)</f>
        <v>0</v>
      </c>
      <c r="AH236" s="55">
        <f t="shared" ref="AH236:AH255" si="29">SUM(C236:AG236)</f>
        <v>0</v>
      </c>
    </row>
    <row r="237" spans="1:34" ht="13.8" thickBot="1" x14ac:dyDescent="0.3">
      <c r="A237" s="41">
        <v>2</v>
      </c>
      <c r="B237" s="54" t="s">
        <v>186</v>
      </c>
      <c r="C237" s="30">
        <f>COUNTIFS('AT. MEDICAS 2024'!$A$9:$A$874,"01/10/2025",'AT. MEDICAS 2024'!$I$9:$I$874,B237)</f>
        <v>0</v>
      </c>
      <c r="D237" s="30">
        <f>COUNTIFS('AT. MEDICAS 2024'!$A$9:$A$874,"02/10/2025",'AT. MEDICAS 2024'!$I$9:$I$874,B237)</f>
        <v>0</v>
      </c>
      <c r="E237" s="30">
        <f>COUNTIFS('AT. MEDICAS 2024'!$A$9:$A$874,"03/10/2025",'AT. MEDICAS 2024'!$I$9:$I$874,B237)</f>
        <v>0</v>
      </c>
      <c r="F237" s="30">
        <f>COUNTIFS('AT. MEDICAS 2024'!$A$9:$A$874,"04/10/2025",'AT. MEDICAS 2024'!$I$9:$I$874,B237)</f>
        <v>0</v>
      </c>
      <c r="G237" s="30">
        <f>COUNTIFS('AT. MEDICAS 2024'!$A$9:$A$874,"05/10/2025",'AT. MEDICAS 2024'!$I$9:$I$874,B237)</f>
        <v>0</v>
      </c>
      <c r="H237" s="30">
        <f>COUNTIFS('AT. MEDICAS 2024'!$A$9:$A$874,"06/10/2025",'AT. MEDICAS 2024'!$I$9:$I$874,B237)</f>
        <v>0</v>
      </c>
      <c r="I237" s="30">
        <f>COUNTIFS('AT. MEDICAS 2024'!$A$9:$A$874,"07/10/2025",'AT. MEDICAS 2024'!$I$9:$I$874,B237)</f>
        <v>0</v>
      </c>
      <c r="J237" s="30">
        <f>COUNTIFS('AT. MEDICAS 2024'!$A$9:$A$874,"08/10/2025",'AT. MEDICAS 2024'!$I$9:$I$874,B237)</f>
        <v>0</v>
      </c>
      <c r="K237" s="30">
        <f>COUNTIFS('AT. MEDICAS 2024'!$A$9:$A$874,"09/10/2025",'AT. MEDICAS 2024'!$I$9:$I$874,B237)</f>
        <v>0</v>
      </c>
      <c r="L237" s="30">
        <f>COUNTIFS('AT. MEDICAS 2024'!$A$9:$A$874,"10/10/2025",'AT. MEDICAS 2024'!$I$9:$I$874,B237)</f>
        <v>0</v>
      </c>
      <c r="M237" s="30">
        <f>COUNTIFS('AT. MEDICAS 2024'!$A$9:$A$874,"11/10/2025",'AT. MEDICAS 2024'!$I$9:$I$874,B237)</f>
        <v>0</v>
      </c>
      <c r="N237" s="30">
        <f>COUNTIFS('AT. MEDICAS 2024'!$A$9:$A$874,"12/10/2025",'AT. MEDICAS 2024'!$I$9:$I$874,B237)</f>
        <v>0</v>
      </c>
      <c r="O237" s="30">
        <f>COUNTIFS('AT. MEDICAS 2024'!$A$9:$A$874,"13/10/2025",'AT. MEDICAS 2024'!$I$9:$I$874,B237)</f>
        <v>0</v>
      </c>
      <c r="P237" s="30">
        <f>COUNTIFS('AT. MEDICAS 2024'!$A$9:$A$874,"14/10/2025",'AT. MEDICAS 2024'!$I$9:$I$874,B237)</f>
        <v>0</v>
      </c>
      <c r="Q237" s="30">
        <f>COUNTIFS('AT. MEDICAS 2024'!$A$9:$A$874,"15/10/2025",'AT. MEDICAS 2024'!$I$9:$I$874,B237)</f>
        <v>0</v>
      </c>
      <c r="R237" s="30">
        <f>COUNTIFS('AT. MEDICAS 2024'!$A$9:$A$874,"16/10/2025",'AT. MEDICAS 2024'!$I$9:$I$874,B237)</f>
        <v>0</v>
      </c>
      <c r="S237" s="30">
        <f>COUNTIFS('AT. MEDICAS 2024'!$A$9:$A$874,"17/10/2025",'AT. MEDICAS 2024'!$I$9:$I$874,B237)</f>
        <v>0</v>
      </c>
      <c r="T237" s="30">
        <f>COUNTIFS('AT. MEDICAS 2024'!$A$9:$A$874,"18/10/2025",'AT. MEDICAS 2024'!$I$9:$I$874,B237)</f>
        <v>0</v>
      </c>
      <c r="U237" s="30">
        <f>COUNTIFS('AT. MEDICAS 2024'!$A$9:$A$874,"19/10/2025",'AT. MEDICAS 2024'!$I$9:$I$874,B237)</f>
        <v>0</v>
      </c>
      <c r="V237" s="30">
        <f>COUNTIFS('AT. MEDICAS 2024'!$A$9:$A$874,"20/10/2025",'AT. MEDICAS 2024'!$I$9:$I$874,B237)</f>
        <v>0</v>
      </c>
      <c r="W237" s="30">
        <f>COUNTIFS('AT. MEDICAS 2024'!$A$9:$A$874,"21/10/2025",'AT. MEDICAS 2024'!$I$9:$I$874,B237)</f>
        <v>0</v>
      </c>
      <c r="X237" s="30">
        <f>COUNTIFS('AT. MEDICAS 2024'!$A$9:$A$874,"22/10/2025",'AT. MEDICAS 2024'!$I$9:$I$874,B237)</f>
        <v>0</v>
      </c>
      <c r="Y237" s="30">
        <f>COUNTIFS('AT. MEDICAS 2024'!$A$9:$A$874,"23/10/2025",'AT. MEDICAS 2024'!$I$9:$I$874,B237)</f>
        <v>0</v>
      </c>
      <c r="Z237" s="30">
        <f>COUNTIFS('AT. MEDICAS 2024'!$A$9:$A$874,"24/10/2025",'AT. MEDICAS 2024'!$I$9:$I$874,B237)</f>
        <v>0</v>
      </c>
      <c r="AA237" s="30">
        <f>COUNTIFS('AT. MEDICAS 2024'!$A$9:$A$874,"25/10/2025",'AT. MEDICAS 2024'!$I$9:$I$874,B237)</f>
        <v>0</v>
      </c>
      <c r="AB237" s="30">
        <f>COUNTIFS('AT. MEDICAS 2024'!$A$9:$A$874,"26/10/2025",'AT. MEDICAS 2024'!$I$9:$I$874,B237)</f>
        <v>0</v>
      </c>
      <c r="AC237" s="30">
        <f>COUNTIFS('AT. MEDICAS 2024'!$A$9:$A$874,"27/10/2025",'AT. MEDICAS 2024'!$I$9:$I$874,B237)</f>
        <v>0</v>
      </c>
      <c r="AD237" s="30">
        <f>COUNTIFS('AT. MEDICAS 2024'!$A$9:$A$874,"28/10/2025",'AT. MEDICAS 2024'!$I$9:$I$874,B237)</f>
        <v>0</v>
      </c>
      <c r="AE237" s="30">
        <f>COUNTIFS('AT. MEDICAS 2024'!$A$9:$A$874,"29/10/2025",'AT. MEDICAS 2024'!$I$9:$I$874,B237)</f>
        <v>0</v>
      </c>
      <c r="AF237" s="30">
        <f>COUNTIFS('AT. MEDICAS 2024'!$A$9:$A$874,"30/10/2025",'AT. MEDICAS 2024'!$I$9:$I$874,B237)</f>
        <v>0</v>
      </c>
      <c r="AG237" s="30">
        <f>COUNTIFS('AT. MEDICAS 2024'!$A$9:$A$874,"31/10/2025",'AT. MEDICAS 2024'!$I$9:$I$874,B237)</f>
        <v>0</v>
      </c>
      <c r="AH237" s="55">
        <f t="shared" si="29"/>
        <v>0</v>
      </c>
    </row>
    <row r="238" spans="1:34" ht="13.8" thickBot="1" x14ac:dyDescent="0.3">
      <c r="A238" s="41">
        <v>3</v>
      </c>
      <c r="B238" s="54" t="s">
        <v>94</v>
      </c>
      <c r="C238" s="30">
        <f>COUNTIFS('AT. MEDICAS 2024'!$A$9:$A$874,"01/10/2025",'AT. MEDICAS 2024'!$I$9:$I$874,B238)</f>
        <v>0</v>
      </c>
      <c r="D238" s="30">
        <f>COUNTIFS('AT. MEDICAS 2024'!$A$9:$A$874,"02/10/2025",'AT. MEDICAS 2024'!$I$9:$I$874,B238)</f>
        <v>0</v>
      </c>
      <c r="E238" s="30">
        <f>COUNTIFS('AT. MEDICAS 2024'!$A$9:$A$874,"03/10/2025",'AT. MEDICAS 2024'!$I$9:$I$874,B238)</f>
        <v>0</v>
      </c>
      <c r="F238" s="30">
        <f>COUNTIFS('AT. MEDICAS 2024'!$A$9:$A$874,"04/10/2025",'AT. MEDICAS 2024'!$I$9:$I$874,B238)</f>
        <v>0</v>
      </c>
      <c r="G238" s="30">
        <f>COUNTIFS('AT. MEDICAS 2024'!$A$9:$A$874,"05/10/2025",'AT. MEDICAS 2024'!$I$9:$I$874,B238)</f>
        <v>0</v>
      </c>
      <c r="H238" s="30">
        <f>COUNTIFS('AT. MEDICAS 2024'!$A$9:$A$874,"06/10/2025",'AT. MEDICAS 2024'!$I$9:$I$874,B238)</f>
        <v>0</v>
      </c>
      <c r="I238" s="30">
        <f>COUNTIFS('AT. MEDICAS 2024'!$A$9:$A$874,"07/10/2025",'AT. MEDICAS 2024'!$I$9:$I$874,B238)</f>
        <v>0</v>
      </c>
      <c r="J238" s="30">
        <f>COUNTIFS('AT. MEDICAS 2024'!$A$9:$A$874,"08/10/2025",'AT. MEDICAS 2024'!$I$9:$I$874,B238)</f>
        <v>0</v>
      </c>
      <c r="K238" s="30">
        <f>COUNTIFS('AT. MEDICAS 2024'!$A$9:$A$874,"09/10/2025",'AT. MEDICAS 2024'!$I$9:$I$874,B238)</f>
        <v>0</v>
      </c>
      <c r="L238" s="30">
        <f>COUNTIFS('AT. MEDICAS 2024'!$A$9:$A$874,"10/10/2025",'AT. MEDICAS 2024'!$I$9:$I$874,B238)</f>
        <v>0</v>
      </c>
      <c r="M238" s="30">
        <f>COUNTIFS('AT. MEDICAS 2024'!$A$9:$A$874,"11/10/2025",'AT. MEDICAS 2024'!$I$9:$I$874,B238)</f>
        <v>0</v>
      </c>
      <c r="N238" s="30">
        <f>COUNTIFS('AT. MEDICAS 2024'!$A$9:$A$874,"12/10/2025",'AT. MEDICAS 2024'!$I$9:$I$874,B238)</f>
        <v>0</v>
      </c>
      <c r="O238" s="30">
        <f>COUNTIFS('AT. MEDICAS 2024'!$A$9:$A$874,"13/10/2025",'AT. MEDICAS 2024'!$I$9:$I$874,B238)</f>
        <v>0</v>
      </c>
      <c r="P238" s="30">
        <f>COUNTIFS('AT. MEDICAS 2024'!$A$9:$A$874,"14/10/2025",'AT. MEDICAS 2024'!$I$9:$I$874,B238)</f>
        <v>0</v>
      </c>
      <c r="Q238" s="30">
        <f>COUNTIFS('AT. MEDICAS 2024'!$A$9:$A$874,"15/10/2025",'AT. MEDICAS 2024'!$I$9:$I$874,B238)</f>
        <v>0</v>
      </c>
      <c r="R238" s="30">
        <f>COUNTIFS('AT. MEDICAS 2024'!$A$9:$A$874,"16/10/2025",'AT. MEDICAS 2024'!$I$9:$I$874,B238)</f>
        <v>0</v>
      </c>
      <c r="S238" s="30">
        <f>COUNTIFS('AT. MEDICAS 2024'!$A$9:$A$874,"17/10/2025",'AT. MEDICAS 2024'!$I$9:$I$874,B238)</f>
        <v>0</v>
      </c>
      <c r="T238" s="30">
        <f>COUNTIFS('AT. MEDICAS 2024'!$A$9:$A$874,"18/10/2025",'AT. MEDICAS 2024'!$I$9:$I$874,B238)</f>
        <v>0</v>
      </c>
      <c r="U238" s="30">
        <f>COUNTIFS('AT. MEDICAS 2024'!$A$9:$A$874,"19/10/2025",'AT. MEDICAS 2024'!$I$9:$I$874,B238)</f>
        <v>0</v>
      </c>
      <c r="V238" s="30">
        <f>COUNTIFS('AT. MEDICAS 2024'!$A$9:$A$874,"20/10/2025",'AT. MEDICAS 2024'!$I$9:$I$874,B238)</f>
        <v>0</v>
      </c>
      <c r="W238" s="30">
        <f>COUNTIFS('AT. MEDICAS 2024'!$A$9:$A$874,"21/10/2025",'AT. MEDICAS 2024'!$I$9:$I$874,B238)</f>
        <v>0</v>
      </c>
      <c r="X238" s="30">
        <f>COUNTIFS('AT. MEDICAS 2024'!$A$9:$A$874,"22/10/2025",'AT. MEDICAS 2024'!$I$9:$I$874,B238)</f>
        <v>0</v>
      </c>
      <c r="Y238" s="30">
        <f>COUNTIFS('AT. MEDICAS 2024'!$A$9:$A$874,"23/10/2025",'AT. MEDICAS 2024'!$I$9:$I$874,B238)</f>
        <v>0</v>
      </c>
      <c r="Z238" s="30">
        <f>COUNTIFS('AT. MEDICAS 2024'!$A$9:$A$874,"24/10/2025",'AT. MEDICAS 2024'!$I$9:$I$874,B238)</f>
        <v>0</v>
      </c>
      <c r="AA238" s="30">
        <f>COUNTIFS('AT. MEDICAS 2024'!$A$9:$A$874,"25/10/2025",'AT. MEDICAS 2024'!$I$9:$I$874,B238)</f>
        <v>0</v>
      </c>
      <c r="AB238" s="30">
        <f>COUNTIFS('AT. MEDICAS 2024'!$A$9:$A$874,"26/10/2025",'AT. MEDICAS 2024'!$I$9:$I$874,B238)</f>
        <v>0</v>
      </c>
      <c r="AC238" s="30">
        <f>COUNTIFS('AT. MEDICAS 2024'!$A$9:$A$874,"27/10/2025",'AT. MEDICAS 2024'!$I$9:$I$874,B238)</f>
        <v>0</v>
      </c>
      <c r="AD238" s="30">
        <f>COUNTIFS('AT. MEDICAS 2024'!$A$9:$A$874,"28/10/2025",'AT. MEDICAS 2024'!$I$9:$I$874,B238)</f>
        <v>0</v>
      </c>
      <c r="AE238" s="30">
        <f>COUNTIFS('AT. MEDICAS 2024'!$A$9:$A$874,"29/10/2025",'AT. MEDICAS 2024'!$I$9:$I$874,B238)</f>
        <v>0</v>
      </c>
      <c r="AF238" s="30">
        <f>COUNTIFS('AT. MEDICAS 2024'!$A$9:$A$874,"30/10/2025",'AT. MEDICAS 2024'!$I$9:$I$874,B238)</f>
        <v>0</v>
      </c>
      <c r="AG238" s="30">
        <f>COUNTIFS('AT. MEDICAS 2024'!$A$9:$A$874,"31/10/2025",'AT. MEDICAS 2024'!$I$9:$I$874,B238)</f>
        <v>0</v>
      </c>
      <c r="AH238" s="55">
        <f t="shared" si="29"/>
        <v>0</v>
      </c>
    </row>
    <row r="239" spans="1:34" ht="13.8" thickBot="1" x14ac:dyDescent="0.3">
      <c r="A239" s="41">
        <v>4</v>
      </c>
      <c r="B239" s="54" t="s">
        <v>50</v>
      </c>
      <c r="C239" s="30">
        <f>COUNTIFS('AT. MEDICAS 2024'!$A$9:$A$874,"01/10/2025",'AT. MEDICAS 2024'!$I$9:$I$874,B239)</f>
        <v>0</v>
      </c>
      <c r="D239" s="30">
        <f>COUNTIFS('AT. MEDICAS 2024'!$A$9:$A$874,"02/10/2025",'AT. MEDICAS 2024'!$I$9:$I$874,B239)</f>
        <v>0</v>
      </c>
      <c r="E239" s="30">
        <f>COUNTIFS('AT. MEDICAS 2024'!$A$9:$A$874,"03/10/2025",'AT. MEDICAS 2024'!$I$9:$I$874,B239)</f>
        <v>0</v>
      </c>
      <c r="F239" s="30">
        <f>COUNTIFS('AT. MEDICAS 2024'!$A$9:$A$874,"04/10/2025",'AT. MEDICAS 2024'!$I$9:$I$874,B239)</f>
        <v>0</v>
      </c>
      <c r="G239" s="30">
        <f>COUNTIFS('AT. MEDICAS 2024'!$A$9:$A$874,"05/10/2025",'AT. MEDICAS 2024'!$I$9:$I$874,B239)</f>
        <v>0</v>
      </c>
      <c r="H239" s="30">
        <f>COUNTIFS('AT. MEDICAS 2024'!$A$9:$A$874,"06/10/2025",'AT. MEDICAS 2024'!$I$9:$I$874,B239)</f>
        <v>0</v>
      </c>
      <c r="I239" s="30">
        <f>COUNTIFS('AT. MEDICAS 2024'!$A$9:$A$874,"07/10/2025",'AT. MEDICAS 2024'!$I$9:$I$874,B239)</f>
        <v>0</v>
      </c>
      <c r="J239" s="30">
        <f>COUNTIFS('AT. MEDICAS 2024'!$A$9:$A$874,"08/10/2025",'AT. MEDICAS 2024'!$I$9:$I$874,B239)</f>
        <v>0</v>
      </c>
      <c r="K239" s="30">
        <f>COUNTIFS('AT. MEDICAS 2024'!$A$9:$A$874,"09/10/2025",'AT. MEDICAS 2024'!$I$9:$I$874,B239)</f>
        <v>0</v>
      </c>
      <c r="L239" s="30">
        <f>COUNTIFS('AT. MEDICAS 2024'!$A$9:$A$874,"10/10/2025",'AT. MEDICAS 2024'!$I$9:$I$874,B239)</f>
        <v>0</v>
      </c>
      <c r="M239" s="30">
        <f>COUNTIFS('AT. MEDICAS 2024'!$A$9:$A$874,"11/10/2025",'AT. MEDICAS 2024'!$I$9:$I$874,B239)</f>
        <v>0</v>
      </c>
      <c r="N239" s="30">
        <f>COUNTIFS('AT. MEDICAS 2024'!$A$9:$A$874,"12/10/2025",'AT. MEDICAS 2024'!$I$9:$I$874,B239)</f>
        <v>0</v>
      </c>
      <c r="O239" s="30">
        <f>COUNTIFS('AT. MEDICAS 2024'!$A$9:$A$874,"13/10/2025",'AT. MEDICAS 2024'!$I$9:$I$874,B239)</f>
        <v>0</v>
      </c>
      <c r="P239" s="30">
        <f>COUNTIFS('AT. MEDICAS 2024'!$A$9:$A$874,"14/10/2025",'AT. MEDICAS 2024'!$I$9:$I$874,B239)</f>
        <v>0</v>
      </c>
      <c r="Q239" s="30">
        <f>COUNTIFS('AT. MEDICAS 2024'!$A$9:$A$874,"15/10/2025",'AT. MEDICAS 2024'!$I$9:$I$874,B239)</f>
        <v>0</v>
      </c>
      <c r="R239" s="30">
        <f>COUNTIFS('AT. MEDICAS 2024'!$A$9:$A$874,"16/10/2025",'AT. MEDICAS 2024'!$I$9:$I$874,B239)</f>
        <v>0</v>
      </c>
      <c r="S239" s="30">
        <f>COUNTIFS('AT. MEDICAS 2024'!$A$9:$A$874,"17/10/2025",'AT. MEDICAS 2024'!$I$9:$I$874,B239)</f>
        <v>0</v>
      </c>
      <c r="T239" s="30">
        <f>COUNTIFS('AT. MEDICAS 2024'!$A$9:$A$874,"18/10/2025",'AT. MEDICAS 2024'!$I$9:$I$874,B239)</f>
        <v>0</v>
      </c>
      <c r="U239" s="30">
        <f>COUNTIFS('AT. MEDICAS 2024'!$A$9:$A$874,"19/10/2025",'AT. MEDICAS 2024'!$I$9:$I$874,B239)</f>
        <v>0</v>
      </c>
      <c r="V239" s="30">
        <f>COUNTIFS('AT. MEDICAS 2024'!$A$9:$A$874,"20/10/2025",'AT. MEDICAS 2024'!$I$9:$I$874,B239)</f>
        <v>0</v>
      </c>
      <c r="W239" s="30">
        <f>COUNTIFS('AT. MEDICAS 2024'!$A$9:$A$874,"21/10/2025",'AT. MEDICAS 2024'!$I$9:$I$874,B239)</f>
        <v>0</v>
      </c>
      <c r="X239" s="30">
        <f>COUNTIFS('AT. MEDICAS 2024'!$A$9:$A$874,"22/10/2025",'AT. MEDICAS 2024'!$I$9:$I$874,B239)</f>
        <v>0</v>
      </c>
      <c r="Y239" s="30">
        <f>COUNTIFS('AT. MEDICAS 2024'!$A$9:$A$874,"23/10/2025",'AT. MEDICAS 2024'!$I$9:$I$874,B239)</f>
        <v>0</v>
      </c>
      <c r="Z239" s="30">
        <f>COUNTIFS('AT. MEDICAS 2024'!$A$9:$A$874,"24/10/2025",'AT. MEDICAS 2024'!$I$9:$I$874,B239)</f>
        <v>0</v>
      </c>
      <c r="AA239" s="30">
        <f>COUNTIFS('AT. MEDICAS 2024'!$A$9:$A$874,"25/10/2025",'AT. MEDICAS 2024'!$I$9:$I$874,B239)</f>
        <v>0</v>
      </c>
      <c r="AB239" s="30">
        <f>COUNTIFS('AT. MEDICAS 2024'!$A$9:$A$874,"26/10/2025",'AT. MEDICAS 2024'!$I$9:$I$874,B239)</f>
        <v>0</v>
      </c>
      <c r="AC239" s="30">
        <f>COUNTIFS('AT. MEDICAS 2024'!$A$9:$A$874,"27/10/2025",'AT. MEDICAS 2024'!$I$9:$I$874,B239)</f>
        <v>0</v>
      </c>
      <c r="AD239" s="30">
        <f>COUNTIFS('AT. MEDICAS 2024'!$A$9:$A$874,"28/10/2025",'AT. MEDICAS 2024'!$I$9:$I$874,B239)</f>
        <v>0</v>
      </c>
      <c r="AE239" s="30">
        <f>COUNTIFS('AT. MEDICAS 2024'!$A$9:$A$874,"29/10/2025",'AT. MEDICAS 2024'!$I$9:$I$874,B239)</f>
        <v>0</v>
      </c>
      <c r="AF239" s="30">
        <f>COUNTIFS('AT. MEDICAS 2024'!$A$9:$A$874,"30/10/2025",'AT. MEDICAS 2024'!$I$9:$I$874,B239)</f>
        <v>0</v>
      </c>
      <c r="AG239" s="30">
        <f>COUNTIFS('AT. MEDICAS 2024'!$A$9:$A$874,"31/10/2025",'AT. MEDICAS 2024'!$I$9:$I$874,B239)</f>
        <v>0</v>
      </c>
      <c r="AH239" s="55">
        <f t="shared" si="29"/>
        <v>0</v>
      </c>
    </row>
    <row r="240" spans="1:34" ht="13.8" thickBot="1" x14ac:dyDescent="0.3">
      <c r="A240" s="41">
        <v>5</v>
      </c>
      <c r="B240" s="54" t="s">
        <v>187</v>
      </c>
      <c r="C240" s="30">
        <f>COUNTIFS('AT. MEDICAS 2024'!$A$9:$A$874,"01/10/2025",'AT. MEDICAS 2024'!$I$9:$I$874,B240)</f>
        <v>0</v>
      </c>
      <c r="D240" s="30">
        <f>COUNTIFS('AT. MEDICAS 2024'!$A$9:$A$874,"02/10/2025",'AT. MEDICAS 2024'!$I$9:$I$874,B240)</f>
        <v>0</v>
      </c>
      <c r="E240" s="30">
        <f>COUNTIFS('AT. MEDICAS 2024'!$A$9:$A$874,"03/10/2025",'AT. MEDICAS 2024'!$I$9:$I$874,B240)</f>
        <v>0</v>
      </c>
      <c r="F240" s="30">
        <f>COUNTIFS('AT. MEDICAS 2024'!$A$9:$A$874,"04/10/2025",'AT. MEDICAS 2024'!$I$9:$I$874,B240)</f>
        <v>0</v>
      </c>
      <c r="G240" s="30">
        <f>COUNTIFS('AT. MEDICAS 2024'!$A$9:$A$874,"05/10/2025",'AT. MEDICAS 2024'!$I$9:$I$874,B240)</f>
        <v>0</v>
      </c>
      <c r="H240" s="30">
        <f>COUNTIFS('AT. MEDICAS 2024'!$A$9:$A$874,"06/10/2025",'AT. MEDICAS 2024'!$I$9:$I$874,B240)</f>
        <v>0</v>
      </c>
      <c r="I240" s="30">
        <f>COUNTIFS('AT. MEDICAS 2024'!$A$9:$A$874,"07/10/2025",'AT. MEDICAS 2024'!$I$9:$I$874,B240)</f>
        <v>0</v>
      </c>
      <c r="J240" s="30">
        <f>COUNTIFS('AT. MEDICAS 2024'!$A$9:$A$874,"08/10/2025",'AT. MEDICAS 2024'!$I$9:$I$874,B240)</f>
        <v>0</v>
      </c>
      <c r="K240" s="30">
        <f>COUNTIFS('AT. MEDICAS 2024'!$A$9:$A$874,"09/10/2025",'AT. MEDICAS 2024'!$I$9:$I$874,B240)</f>
        <v>0</v>
      </c>
      <c r="L240" s="30">
        <f>COUNTIFS('AT. MEDICAS 2024'!$A$9:$A$874,"10/10/2025",'AT. MEDICAS 2024'!$I$9:$I$874,B240)</f>
        <v>0</v>
      </c>
      <c r="M240" s="30">
        <f>COUNTIFS('AT. MEDICAS 2024'!$A$9:$A$874,"11/10/2025",'AT. MEDICAS 2024'!$I$9:$I$874,B240)</f>
        <v>0</v>
      </c>
      <c r="N240" s="30">
        <f>COUNTIFS('AT. MEDICAS 2024'!$A$9:$A$874,"12/10/2025",'AT. MEDICAS 2024'!$I$9:$I$874,B240)</f>
        <v>0</v>
      </c>
      <c r="O240" s="30">
        <f>COUNTIFS('AT. MEDICAS 2024'!$A$9:$A$874,"13/10/2025",'AT. MEDICAS 2024'!$I$9:$I$874,B240)</f>
        <v>0</v>
      </c>
      <c r="P240" s="30">
        <f>COUNTIFS('AT. MEDICAS 2024'!$A$9:$A$874,"14/10/2025",'AT. MEDICAS 2024'!$I$9:$I$874,B240)</f>
        <v>0</v>
      </c>
      <c r="Q240" s="30">
        <f>COUNTIFS('AT. MEDICAS 2024'!$A$9:$A$874,"15/10/2025",'AT. MEDICAS 2024'!$I$9:$I$874,B240)</f>
        <v>0</v>
      </c>
      <c r="R240" s="30">
        <f>COUNTIFS('AT. MEDICAS 2024'!$A$9:$A$874,"16/10/2025",'AT. MEDICAS 2024'!$I$9:$I$874,B240)</f>
        <v>0</v>
      </c>
      <c r="S240" s="30">
        <f>COUNTIFS('AT. MEDICAS 2024'!$A$9:$A$874,"17/10/2025",'AT. MEDICAS 2024'!$I$9:$I$874,B240)</f>
        <v>0</v>
      </c>
      <c r="T240" s="30">
        <f>COUNTIFS('AT. MEDICAS 2024'!$A$9:$A$874,"18/10/2025",'AT. MEDICAS 2024'!$I$9:$I$874,B240)</f>
        <v>0</v>
      </c>
      <c r="U240" s="30">
        <f>COUNTIFS('AT. MEDICAS 2024'!$A$9:$A$874,"19/10/2025",'AT. MEDICAS 2024'!$I$9:$I$874,B240)</f>
        <v>0</v>
      </c>
      <c r="V240" s="30">
        <f>COUNTIFS('AT. MEDICAS 2024'!$A$9:$A$874,"20/10/2025",'AT. MEDICAS 2024'!$I$9:$I$874,B240)</f>
        <v>0</v>
      </c>
      <c r="W240" s="30">
        <f>COUNTIFS('AT. MEDICAS 2024'!$A$9:$A$874,"21/10/2025",'AT. MEDICAS 2024'!$I$9:$I$874,B240)</f>
        <v>0</v>
      </c>
      <c r="X240" s="30">
        <f>COUNTIFS('AT. MEDICAS 2024'!$A$9:$A$874,"22/10/2025",'AT. MEDICAS 2024'!$I$9:$I$874,B240)</f>
        <v>0</v>
      </c>
      <c r="Y240" s="30">
        <f>COUNTIFS('AT. MEDICAS 2024'!$A$9:$A$874,"23/10/2025",'AT. MEDICAS 2024'!$I$9:$I$874,B240)</f>
        <v>0</v>
      </c>
      <c r="Z240" s="30">
        <f>COUNTIFS('AT. MEDICAS 2024'!$A$9:$A$874,"24/10/2025",'AT. MEDICAS 2024'!$I$9:$I$874,B240)</f>
        <v>0</v>
      </c>
      <c r="AA240" s="30">
        <f>COUNTIFS('AT. MEDICAS 2024'!$A$9:$A$874,"25/10/2025",'AT. MEDICAS 2024'!$I$9:$I$874,B240)</f>
        <v>0</v>
      </c>
      <c r="AB240" s="30">
        <f>COUNTIFS('AT. MEDICAS 2024'!$A$9:$A$874,"26/10/2025",'AT. MEDICAS 2024'!$I$9:$I$874,B240)</f>
        <v>0</v>
      </c>
      <c r="AC240" s="30">
        <f>COUNTIFS('AT. MEDICAS 2024'!$A$9:$A$874,"27/10/2025",'AT. MEDICAS 2024'!$I$9:$I$874,B240)</f>
        <v>0</v>
      </c>
      <c r="AD240" s="30">
        <f>COUNTIFS('AT. MEDICAS 2024'!$A$9:$A$874,"28/10/2025",'AT. MEDICAS 2024'!$I$9:$I$874,B240)</f>
        <v>0</v>
      </c>
      <c r="AE240" s="30">
        <f>COUNTIFS('AT. MEDICAS 2024'!$A$9:$A$874,"29/10/2025",'AT. MEDICAS 2024'!$I$9:$I$874,B240)</f>
        <v>0</v>
      </c>
      <c r="AF240" s="30">
        <f>COUNTIFS('AT. MEDICAS 2024'!$A$9:$A$874,"30/10/2025",'AT. MEDICAS 2024'!$I$9:$I$874,B240)</f>
        <v>0</v>
      </c>
      <c r="AG240" s="30">
        <f>COUNTIFS('AT. MEDICAS 2024'!$A$9:$A$874,"31/10/2025",'AT. MEDICAS 2024'!$I$9:$I$874,B240)</f>
        <v>0</v>
      </c>
      <c r="AH240" s="55">
        <f t="shared" si="29"/>
        <v>0</v>
      </c>
    </row>
    <row r="241" spans="1:34" ht="13.8" thickBot="1" x14ac:dyDescent="0.3">
      <c r="A241" s="41">
        <v>6</v>
      </c>
      <c r="B241" s="54" t="s">
        <v>46</v>
      </c>
      <c r="C241" s="30">
        <f>COUNTIFS('AT. MEDICAS 2024'!$A$9:$A$874,"01/10/2025",'AT. MEDICAS 2024'!$I$9:$I$874,B241)</f>
        <v>0</v>
      </c>
      <c r="D241" s="30">
        <f>COUNTIFS('AT. MEDICAS 2024'!$A$9:$A$874,"02/10/2025",'AT. MEDICAS 2024'!$I$9:$I$874,B241)</f>
        <v>0</v>
      </c>
      <c r="E241" s="30">
        <f>COUNTIFS('AT. MEDICAS 2024'!$A$9:$A$874,"03/10/2025",'AT. MEDICAS 2024'!$I$9:$I$874,B241)</f>
        <v>0</v>
      </c>
      <c r="F241" s="30">
        <f>COUNTIFS('AT. MEDICAS 2024'!$A$9:$A$874,"04/10/2025",'AT. MEDICAS 2024'!$I$9:$I$874,B241)</f>
        <v>0</v>
      </c>
      <c r="G241" s="30">
        <f>COUNTIFS('AT. MEDICAS 2024'!$A$9:$A$874,"05/10/2025",'AT. MEDICAS 2024'!$I$9:$I$874,B241)</f>
        <v>0</v>
      </c>
      <c r="H241" s="30">
        <f>COUNTIFS('AT. MEDICAS 2024'!$A$9:$A$874,"06/10/2025",'AT. MEDICAS 2024'!$I$9:$I$874,B241)</f>
        <v>0</v>
      </c>
      <c r="I241" s="30">
        <f>COUNTIFS('AT. MEDICAS 2024'!$A$9:$A$874,"07/10/2025",'AT. MEDICAS 2024'!$I$9:$I$874,B241)</f>
        <v>0</v>
      </c>
      <c r="J241" s="30">
        <f>COUNTIFS('AT. MEDICAS 2024'!$A$9:$A$874,"08/10/2025",'AT. MEDICAS 2024'!$I$9:$I$874,B241)</f>
        <v>0</v>
      </c>
      <c r="K241" s="30">
        <f>COUNTIFS('AT. MEDICAS 2024'!$A$9:$A$874,"09/10/2025",'AT. MEDICAS 2024'!$I$9:$I$874,B241)</f>
        <v>0</v>
      </c>
      <c r="L241" s="30">
        <f>COUNTIFS('AT. MEDICAS 2024'!$A$9:$A$874,"10/10/2025",'AT. MEDICAS 2024'!$I$9:$I$874,B241)</f>
        <v>0</v>
      </c>
      <c r="M241" s="30">
        <f>COUNTIFS('AT. MEDICAS 2024'!$A$9:$A$874,"11/10/2025",'AT. MEDICAS 2024'!$I$9:$I$874,B241)</f>
        <v>0</v>
      </c>
      <c r="N241" s="30">
        <f>COUNTIFS('AT. MEDICAS 2024'!$A$9:$A$874,"12/10/2025",'AT. MEDICAS 2024'!$I$9:$I$874,B241)</f>
        <v>0</v>
      </c>
      <c r="O241" s="30">
        <f>COUNTIFS('AT. MEDICAS 2024'!$A$9:$A$874,"13/10/2025",'AT. MEDICAS 2024'!$I$9:$I$874,B241)</f>
        <v>0</v>
      </c>
      <c r="P241" s="30">
        <f>COUNTIFS('AT. MEDICAS 2024'!$A$9:$A$874,"14/10/2025",'AT. MEDICAS 2024'!$I$9:$I$874,B241)</f>
        <v>0</v>
      </c>
      <c r="Q241" s="30">
        <f>COUNTIFS('AT. MEDICAS 2024'!$A$9:$A$874,"15/10/2025",'AT. MEDICAS 2024'!$I$9:$I$874,B241)</f>
        <v>0</v>
      </c>
      <c r="R241" s="30">
        <f>COUNTIFS('AT. MEDICAS 2024'!$A$9:$A$874,"16/10/2025",'AT. MEDICAS 2024'!$I$9:$I$874,B241)</f>
        <v>0</v>
      </c>
      <c r="S241" s="30">
        <f>COUNTIFS('AT. MEDICAS 2024'!$A$9:$A$874,"17/10/2025",'AT. MEDICAS 2024'!$I$9:$I$874,B241)</f>
        <v>0</v>
      </c>
      <c r="T241" s="30">
        <f>COUNTIFS('AT. MEDICAS 2024'!$A$9:$A$874,"18/10/2025",'AT. MEDICAS 2024'!$I$9:$I$874,B241)</f>
        <v>0</v>
      </c>
      <c r="U241" s="30">
        <f>COUNTIFS('AT. MEDICAS 2024'!$A$9:$A$874,"19/10/2025",'AT. MEDICAS 2024'!$I$9:$I$874,B241)</f>
        <v>0</v>
      </c>
      <c r="V241" s="30">
        <f>COUNTIFS('AT. MEDICAS 2024'!$A$9:$A$874,"20/10/2025",'AT. MEDICAS 2024'!$I$9:$I$874,B241)</f>
        <v>0</v>
      </c>
      <c r="W241" s="30">
        <f>COUNTIFS('AT. MEDICAS 2024'!$A$9:$A$874,"21/10/2025",'AT. MEDICAS 2024'!$I$9:$I$874,B241)</f>
        <v>0</v>
      </c>
      <c r="X241" s="30">
        <f>COUNTIFS('AT. MEDICAS 2024'!$A$9:$A$874,"22/10/2025",'AT. MEDICAS 2024'!$I$9:$I$874,B241)</f>
        <v>0</v>
      </c>
      <c r="Y241" s="30">
        <f>COUNTIFS('AT. MEDICAS 2024'!$A$9:$A$874,"23/10/2025",'AT. MEDICAS 2024'!$I$9:$I$874,B241)</f>
        <v>0</v>
      </c>
      <c r="Z241" s="30">
        <f>COUNTIFS('AT. MEDICAS 2024'!$A$9:$A$874,"24/10/2025",'AT. MEDICAS 2024'!$I$9:$I$874,B241)</f>
        <v>0</v>
      </c>
      <c r="AA241" s="30">
        <f>COUNTIFS('AT. MEDICAS 2024'!$A$9:$A$874,"25/10/2025",'AT. MEDICAS 2024'!$I$9:$I$874,B241)</f>
        <v>0</v>
      </c>
      <c r="AB241" s="30">
        <f>COUNTIFS('AT. MEDICAS 2024'!$A$9:$A$874,"26/10/2025",'AT. MEDICAS 2024'!$I$9:$I$874,B241)</f>
        <v>0</v>
      </c>
      <c r="AC241" s="30">
        <f>COUNTIFS('AT. MEDICAS 2024'!$A$9:$A$874,"27/10/2025",'AT. MEDICAS 2024'!$I$9:$I$874,B241)</f>
        <v>0</v>
      </c>
      <c r="AD241" s="30">
        <f>COUNTIFS('AT. MEDICAS 2024'!$A$9:$A$874,"28/10/2025",'AT. MEDICAS 2024'!$I$9:$I$874,B241)</f>
        <v>0</v>
      </c>
      <c r="AE241" s="30">
        <f>COUNTIFS('AT. MEDICAS 2024'!$A$9:$A$874,"29/10/2025",'AT. MEDICAS 2024'!$I$9:$I$874,B241)</f>
        <v>0</v>
      </c>
      <c r="AF241" s="30">
        <f>COUNTIFS('AT. MEDICAS 2024'!$A$9:$A$874,"30/10/2025",'AT. MEDICAS 2024'!$I$9:$I$874,B241)</f>
        <v>0</v>
      </c>
      <c r="AG241" s="30">
        <f>COUNTIFS('AT. MEDICAS 2024'!$A$9:$A$874,"31/10/2025",'AT. MEDICAS 2024'!$I$9:$I$874,B241)</f>
        <v>0</v>
      </c>
      <c r="AH241" s="55">
        <f t="shared" si="29"/>
        <v>0</v>
      </c>
    </row>
    <row r="242" spans="1:34" ht="13.8" thickBot="1" x14ac:dyDescent="0.3">
      <c r="A242" s="41">
        <v>7</v>
      </c>
      <c r="B242" s="54" t="s">
        <v>36</v>
      </c>
      <c r="C242" s="30">
        <f>COUNTIFS('AT. MEDICAS 2024'!$A$9:$A$874,"01/10/2025",'AT. MEDICAS 2024'!$I$9:$I$874,B242)</f>
        <v>0</v>
      </c>
      <c r="D242" s="30">
        <f>COUNTIFS('AT. MEDICAS 2024'!$A$9:$A$874,"02/10/2025",'AT. MEDICAS 2024'!$I$9:$I$874,B242)</f>
        <v>0</v>
      </c>
      <c r="E242" s="30">
        <f>COUNTIFS('AT. MEDICAS 2024'!$A$9:$A$874,"03/10/2025",'AT. MEDICAS 2024'!$I$9:$I$874,B242)</f>
        <v>0</v>
      </c>
      <c r="F242" s="30">
        <f>COUNTIFS('AT. MEDICAS 2024'!$A$9:$A$874,"04/10/2025",'AT. MEDICAS 2024'!$I$9:$I$874,B242)</f>
        <v>0</v>
      </c>
      <c r="G242" s="30">
        <f>COUNTIFS('AT. MEDICAS 2024'!$A$9:$A$874,"05/10/2025",'AT. MEDICAS 2024'!$I$9:$I$874,B242)</f>
        <v>0</v>
      </c>
      <c r="H242" s="30">
        <f>COUNTIFS('AT. MEDICAS 2024'!$A$9:$A$874,"06/10/2025",'AT. MEDICAS 2024'!$I$9:$I$874,B242)</f>
        <v>0</v>
      </c>
      <c r="I242" s="30">
        <f>COUNTIFS('AT. MEDICAS 2024'!$A$9:$A$874,"07/10/2025",'AT. MEDICAS 2024'!$I$9:$I$874,B242)</f>
        <v>0</v>
      </c>
      <c r="J242" s="30">
        <f>COUNTIFS('AT. MEDICAS 2024'!$A$9:$A$874,"08/10/2025",'AT. MEDICAS 2024'!$I$9:$I$874,B242)</f>
        <v>0</v>
      </c>
      <c r="K242" s="30">
        <f>COUNTIFS('AT. MEDICAS 2024'!$A$9:$A$874,"09/10/2025",'AT. MEDICAS 2024'!$I$9:$I$874,B242)</f>
        <v>0</v>
      </c>
      <c r="L242" s="30">
        <f>COUNTIFS('AT. MEDICAS 2024'!$A$9:$A$874,"10/10/2025",'AT. MEDICAS 2024'!$I$9:$I$874,B242)</f>
        <v>0</v>
      </c>
      <c r="M242" s="30">
        <f>COUNTIFS('AT. MEDICAS 2024'!$A$9:$A$874,"11/10/2025",'AT. MEDICAS 2024'!$I$9:$I$874,B242)</f>
        <v>0</v>
      </c>
      <c r="N242" s="30">
        <f>COUNTIFS('AT. MEDICAS 2024'!$A$9:$A$874,"12/10/2025",'AT. MEDICAS 2024'!$I$9:$I$874,B242)</f>
        <v>0</v>
      </c>
      <c r="O242" s="30">
        <f>COUNTIFS('AT. MEDICAS 2024'!$A$9:$A$874,"13/10/2025",'AT. MEDICAS 2024'!$I$9:$I$874,B242)</f>
        <v>0</v>
      </c>
      <c r="P242" s="30">
        <f>COUNTIFS('AT. MEDICAS 2024'!$A$9:$A$874,"14/10/2025",'AT. MEDICAS 2024'!$I$9:$I$874,B242)</f>
        <v>0</v>
      </c>
      <c r="Q242" s="30">
        <f>COUNTIFS('AT. MEDICAS 2024'!$A$9:$A$874,"15/10/2025",'AT. MEDICAS 2024'!$I$9:$I$874,B242)</f>
        <v>0</v>
      </c>
      <c r="R242" s="30">
        <f>COUNTIFS('AT. MEDICAS 2024'!$A$9:$A$874,"16/10/2025",'AT. MEDICAS 2024'!$I$9:$I$874,B242)</f>
        <v>0</v>
      </c>
      <c r="S242" s="30">
        <f>COUNTIFS('AT. MEDICAS 2024'!$A$9:$A$874,"17/10/2025",'AT. MEDICAS 2024'!$I$9:$I$874,B242)</f>
        <v>0</v>
      </c>
      <c r="T242" s="30">
        <f>COUNTIFS('AT. MEDICAS 2024'!$A$9:$A$874,"18/10/2025",'AT. MEDICAS 2024'!$I$9:$I$874,B242)</f>
        <v>0</v>
      </c>
      <c r="U242" s="30">
        <f>COUNTIFS('AT. MEDICAS 2024'!$A$9:$A$874,"19/10/2025",'AT. MEDICAS 2024'!$I$9:$I$874,B242)</f>
        <v>0</v>
      </c>
      <c r="V242" s="30">
        <f>COUNTIFS('AT. MEDICAS 2024'!$A$9:$A$874,"20/10/2025",'AT. MEDICAS 2024'!$I$9:$I$874,B242)</f>
        <v>0</v>
      </c>
      <c r="W242" s="30">
        <f>COUNTIFS('AT. MEDICAS 2024'!$A$9:$A$874,"21/10/2025",'AT. MEDICAS 2024'!$I$9:$I$874,B242)</f>
        <v>0</v>
      </c>
      <c r="X242" s="30">
        <f>COUNTIFS('AT. MEDICAS 2024'!$A$9:$A$874,"22/10/2025",'AT. MEDICAS 2024'!$I$9:$I$874,B242)</f>
        <v>0</v>
      </c>
      <c r="Y242" s="30">
        <f>COUNTIFS('AT. MEDICAS 2024'!$A$9:$A$874,"23/10/2025",'AT. MEDICAS 2024'!$I$9:$I$874,B242)</f>
        <v>0</v>
      </c>
      <c r="Z242" s="30">
        <f>COUNTIFS('AT. MEDICAS 2024'!$A$9:$A$874,"24/10/2025",'AT. MEDICAS 2024'!$I$9:$I$874,B242)</f>
        <v>0</v>
      </c>
      <c r="AA242" s="30">
        <f>COUNTIFS('AT. MEDICAS 2024'!$A$9:$A$874,"25/10/2025",'AT. MEDICAS 2024'!$I$9:$I$874,B242)</f>
        <v>0</v>
      </c>
      <c r="AB242" s="30">
        <f>COUNTIFS('AT. MEDICAS 2024'!$A$9:$A$874,"26/10/2025",'AT. MEDICAS 2024'!$I$9:$I$874,B242)</f>
        <v>0</v>
      </c>
      <c r="AC242" s="30">
        <f>COUNTIFS('AT. MEDICAS 2024'!$A$9:$A$874,"27/10/2025",'AT. MEDICAS 2024'!$I$9:$I$874,B242)</f>
        <v>0</v>
      </c>
      <c r="AD242" s="30">
        <f>COUNTIFS('AT. MEDICAS 2024'!$A$9:$A$874,"28/10/2025",'AT. MEDICAS 2024'!$I$9:$I$874,B242)</f>
        <v>0</v>
      </c>
      <c r="AE242" s="30">
        <f>COUNTIFS('AT. MEDICAS 2024'!$A$9:$A$874,"29/10/2025",'AT. MEDICAS 2024'!$I$9:$I$874,B242)</f>
        <v>0</v>
      </c>
      <c r="AF242" s="30">
        <f>COUNTIFS('AT. MEDICAS 2024'!$A$9:$A$874,"30/10/2025",'AT. MEDICAS 2024'!$I$9:$I$874,B242)</f>
        <v>0</v>
      </c>
      <c r="AG242" s="30">
        <f>COUNTIFS('AT. MEDICAS 2024'!$A$9:$A$874,"31/10/2025",'AT. MEDICAS 2024'!$I$9:$I$874,B242)</f>
        <v>0</v>
      </c>
      <c r="AH242" s="55">
        <f t="shared" si="29"/>
        <v>0</v>
      </c>
    </row>
    <row r="243" spans="1:34" ht="13.8" thickBot="1" x14ac:dyDescent="0.3">
      <c r="A243" s="41">
        <v>8</v>
      </c>
      <c r="B243" s="54" t="s">
        <v>92</v>
      </c>
      <c r="C243" s="30">
        <f>COUNTIFS('AT. MEDICAS 2024'!$A$9:$A$874,"01/10/2025",'AT. MEDICAS 2024'!$I$9:$I$874,B243)</f>
        <v>0</v>
      </c>
      <c r="D243" s="30">
        <f>COUNTIFS('AT. MEDICAS 2024'!$A$9:$A$874,"02/10/2025",'AT. MEDICAS 2024'!$I$9:$I$874,B243)</f>
        <v>0</v>
      </c>
      <c r="E243" s="30">
        <f>COUNTIFS('AT. MEDICAS 2024'!$A$9:$A$874,"03/10/2025",'AT. MEDICAS 2024'!$I$9:$I$874,B243)</f>
        <v>0</v>
      </c>
      <c r="F243" s="30">
        <f>COUNTIFS('AT. MEDICAS 2024'!$A$9:$A$874,"04/10/2025",'AT. MEDICAS 2024'!$I$9:$I$874,B243)</f>
        <v>0</v>
      </c>
      <c r="G243" s="30">
        <f>COUNTIFS('AT. MEDICAS 2024'!$A$9:$A$874,"05/10/2025",'AT. MEDICAS 2024'!$I$9:$I$874,B243)</f>
        <v>0</v>
      </c>
      <c r="H243" s="30">
        <f>COUNTIFS('AT. MEDICAS 2024'!$A$9:$A$874,"06/10/2025",'AT. MEDICAS 2024'!$I$9:$I$874,B243)</f>
        <v>0</v>
      </c>
      <c r="I243" s="30">
        <f>COUNTIFS('AT. MEDICAS 2024'!$A$9:$A$874,"07/10/2025",'AT. MEDICAS 2024'!$I$9:$I$874,B243)</f>
        <v>0</v>
      </c>
      <c r="J243" s="30">
        <f>COUNTIFS('AT. MEDICAS 2024'!$A$9:$A$874,"08/10/2025",'AT. MEDICAS 2024'!$I$9:$I$874,B243)</f>
        <v>0</v>
      </c>
      <c r="K243" s="30">
        <f>COUNTIFS('AT. MEDICAS 2024'!$A$9:$A$874,"09/10/2025",'AT. MEDICAS 2024'!$I$9:$I$874,B243)</f>
        <v>0</v>
      </c>
      <c r="L243" s="30">
        <f>COUNTIFS('AT. MEDICAS 2024'!$A$9:$A$874,"10/10/2025",'AT. MEDICAS 2024'!$I$9:$I$874,B243)</f>
        <v>0</v>
      </c>
      <c r="M243" s="30">
        <f>COUNTIFS('AT. MEDICAS 2024'!$A$9:$A$874,"11/10/2025",'AT. MEDICAS 2024'!$I$9:$I$874,B243)</f>
        <v>0</v>
      </c>
      <c r="N243" s="30">
        <f>COUNTIFS('AT. MEDICAS 2024'!$A$9:$A$874,"12/10/2025",'AT. MEDICAS 2024'!$I$9:$I$874,B243)</f>
        <v>0</v>
      </c>
      <c r="O243" s="30">
        <f>COUNTIFS('AT. MEDICAS 2024'!$A$9:$A$874,"13/10/2025",'AT. MEDICAS 2024'!$I$9:$I$874,B243)</f>
        <v>0</v>
      </c>
      <c r="P243" s="30">
        <f>COUNTIFS('AT. MEDICAS 2024'!$A$9:$A$874,"14/10/2025",'AT. MEDICAS 2024'!$I$9:$I$874,B243)</f>
        <v>0</v>
      </c>
      <c r="Q243" s="30">
        <f>COUNTIFS('AT. MEDICAS 2024'!$A$9:$A$874,"15/10/2025",'AT. MEDICAS 2024'!$I$9:$I$874,B243)</f>
        <v>0</v>
      </c>
      <c r="R243" s="30">
        <f>COUNTIFS('AT. MEDICAS 2024'!$A$9:$A$874,"16/10/2025",'AT. MEDICAS 2024'!$I$9:$I$874,B243)</f>
        <v>0</v>
      </c>
      <c r="S243" s="30">
        <f>COUNTIFS('AT. MEDICAS 2024'!$A$9:$A$874,"17/10/2025",'AT. MEDICAS 2024'!$I$9:$I$874,B243)</f>
        <v>0</v>
      </c>
      <c r="T243" s="30">
        <f>COUNTIFS('AT. MEDICAS 2024'!$A$9:$A$874,"18/10/2025",'AT. MEDICAS 2024'!$I$9:$I$874,B243)</f>
        <v>0</v>
      </c>
      <c r="U243" s="30">
        <f>COUNTIFS('AT. MEDICAS 2024'!$A$9:$A$874,"19/10/2025",'AT. MEDICAS 2024'!$I$9:$I$874,B243)</f>
        <v>0</v>
      </c>
      <c r="V243" s="30">
        <f>COUNTIFS('AT. MEDICAS 2024'!$A$9:$A$874,"20/10/2025",'AT. MEDICAS 2024'!$I$9:$I$874,B243)</f>
        <v>0</v>
      </c>
      <c r="W243" s="30">
        <f>COUNTIFS('AT. MEDICAS 2024'!$A$9:$A$874,"21/10/2025",'AT. MEDICAS 2024'!$I$9:$I$874,B243)</f>
        <v>0</v>
      </c>
      <c r="X243" s="30">
        <f>COUNTIFS('AT. MEDICAS 2024'!$A$9:$A$874,"22/10/2025",'AT. MEDICAS 2024'!$I$9:$I$874,B243)</f>
        <v>0</v>
      </c>
      <c r="Y243" s="30">
        <f>COUNTIFS('AT. MEDICAS 2024'!$A$9:$A$874,"23/10/2025",'AT. MEDICAS 2024'!$I$9:$I$874,B243)</f>
        <v>0</v>
      </c>
      <c r="Z243" s="30">
        <f>COUNTIFS('AT. MEDICAS 2024'!$A$9:$A$874,"24/10/2025",'AT. MEDICAS 2024'!$I$9:$I$874,B243)</f>
        <v>0</v>
      </c>
      <c r="AA243" s="30">
        <f>COUNTIFS('AT. MEDICAS 2024'!$A$9:$A$874,"25/10/2025",'AT. MEDICAS 2024'!$I$9:$I$874,B243)</f>
        <v>0</v>
      </c>
      <c r="AB243" s="30">
        <f>COUNTIFS('AT. MEDICAS 2024'!$A$9:$A$874,"26/10/2025",'AT. MEDICAS 2024'!$I$9:$I$874,B243)</f>
        <v>0</v>
      </c>
      <c r="AC243" s="30">
        <f>COUNTIFS('AT. MEDICAS 2024'!$A$9:$A$874,"27/10/2025",'AT. MEDICAS 2024'!$I$9:$I$874,B243)</f>
        <v>0</v>
      </c>
      <c r="AD243" s="30">
        <f>COUNTIFS('AT. MEDICAS 2024'!$A$9:$A$874,"28/10/2025",'AT. MEDICAS 2024'!$I$9:$I$874,B243)</f>
        <v>0</v>
      </c>
      <c r="AE243" s="30">
        <f>COUNTIFS('AT. MEDICAS 2024'!$A$9:$A$874,"29/10/2025",'AT. MEDICAS 2024'!$I$9:$I$874,B243)</f>
        <v>0</v>
      </c>
      <c r="AF243" s="30">
        <f>COUNTIFS('AT. MEDICAS 2024'!$A$9:$A$874,"30/10/2025",'AT. MEDICAS 2024'!$I$9:$I$874,B243)</f>
        <v>0</v>
      </c>
      <c r="AG243" s="30">
        <f>COUNTIFS('AT. MEDICAS 2024'!$A$9:$A$874,"31/10/2025",'AT. MEDICAS 2024'!$I$9:$I$874,B243)</f>
        <v>0</v>
      </c>
      <c r="AH243" s="55">
        <f t="shared" si="29"/>
        <v>0</v>
      </c>
    </row>
    <row r="244" spans="1:34" ht="13.8" thickBot="1" x14ac:dyDescent="0.3">
      <c r="A244" s="41">
        <v>9</v>
      </c>
      <c r="B244" s="54" t="s">
        <v>188</v>
      </c>
      <c r="C244" s="30">
        <f>COUNTIFS('AT. MEDICAS 2024'!$A$9:$A$874,"01/10/2025",'AT. MEDICAS 2024'!$I$9:$I$874,B244)</f>
        <v>0</v>
      </c>
      <c r="D244" s="30">
        <f>COUNTIFS('AT. MEDICAS 2024'!$A$9:$A$874,"02/10/2025",'AT. MEDICAS 2024'!$I$9:$I$874,B244)</f>
        <v>0</v>
      </c>
      <c r="E244" s="30">
        <f>COUNTIFS('AT. MEDICAS 2024'!$A$9:$A$874,"03/10/2025",'AT. MEDICAS 2024'!$I$9:$I$874,B244)</f>
        <v>0</v>
      </c>
      <c r="F244" s="30">
        <f>COUNTIFS('AT. MEDICAS 2024'!$A$9:$A$874,"04/10/2025",'AT. MEDICAS 2024'!$I$9:$I$874,B244)</f>
        <v>0</v>
      </c>
      <c r="G244" s="30">
        <f>COUNTIFS('AT. MEDICAS 2024'!$A$9:$A$874,"05/10/2025",'AT. MEDICAS 2024'!$I$9:$I$874,B244)</f>
        <v>0</v>
      </c>
      <c r="H244" s="30">
        <f>COUNTIFS('AT. MEDICAS 2024'!$A$9:$A$874,"06/10/2025",'AT. MEDICAS 2024'!$I$9:$I$874,B244)</f>
        <v>0</v>
      </c>
      <c r="I244" s="30">
        <f>COUNTIFS('AT. MEDICAS 2024'!$A$9:$A$874,"07/10/2025",'AT. MEDICAS 2024'!$I$9:$I$874,B244)</f>
        <v>0</v>
      </c>
      <c r="J244" s="30">
        <f>COUNTIFS('AT. MEDICAS 2024'!$A$9:$A$874,"08/10/2025",'AT. MEDICAS 2024'!$I$9:$I$874,B244)</f>
        <v>0</v>
      </c>
      <c r="K244" s="30">
        <f>COUNTIFS('AT. MEDICAS 2024'!$A$9:$A$874,"09/10/2025",'AT. MEDICAS 2024'!$I$9:$I$874,B244)</f>
        <v>0</v>
      </c>
      <c r="L244" s="30">
        <f>COUNTIFS('AT. MEDICAS 2024'!$A$9:$A$874,"10/10/2025",'AT. MEDICAS 2024'!$I$9:$I$874,B244)</f>
        <v>0</v>
      </c>
      <c r="M244" s="30">
        <f>COUNTIFS('AT. MEDICAS 2024'!$A$9:$A$874,"11/10/2025",'AT. MEDICAS 2024'!$I$9:$I$874,B244)</f>
        <v>0</v>
      </c>
      <c r="N244" s="30">
        <f>COUNTIFS('AT. MEDICAS 2024'!$A$9:$A$874,"12/10/2025",'AT. MEDICAS 2024'!$I$9:$I$874,B244)</f>
        <v>0</v>
      </c>
      <c r="O244" s="30">
        <f>COUNTIFS('AT. MEDICAS 2024'!$A$9:$A$874,"13/10/2025",'AT. MEDICAS 2024'!$I$9:$I$874,B244)</f>
        <v>0</v>
      </c>
      <c r="P244" s="30">
        <f>COUNTIFS('AT. MEDICAS 2024'!$A$9:$A$874,"14/10/2025",'AT. MEDICAS 2024'!$I$9:$I$874,B244)</f>
        <v>0</v>
      </c>
      <c r="Q244" s="30">
        <f>COUNTIFS('AT. MEDICAS 2024'!$A$9:$A$874,"15/10/2025",'AT. MEDICAS 2024'!$I$9:$I$874,B244)</f>
        <v>0</v>
      </c>
      <c r="R244" s="30">
        <f>COUNTIFS('AT. MEDICAS 2024'!$A$9:$A$874,"16/10/2025",'AT. MEDICAS 2024'!$I$9:$I$874,B244)</f>
        <v>0</v>
      </c>
      <c r="S244" s="30">
        <f>COUNTIFS('AT. MEDICAS 2024'!$A$9:$A$874,"17/10/2025",'AT. MEDICAS 2024'!$I$9:$I$874,B244)</f>
        <v>0</v>
      </c>
      <c r="T244" s="30">
        <f>COUNTIFS('AT. MEDICAS 2024'!$A$9:$A$874,"18/10/2025",'AT. MEDICAS 2024'!$I$9:$I$874,B244)</f>
        <v>0</v>
      </c>
      <c r="U244" s="30">
        <f>COUNTIFS('AT. MEDICAS 2024'!$A$9:$A$874,"19/10/2025",'AT. MEDICAS 2024'!$I$9:$I$874,B244)</f>
        <v>0</v>
      </c>
      <c r="V244" s="30">
        <f>COUNTIFS('AT. MEDICAS 2024'!$A$9:$A$874,"20/10/2025",'AT. MEDICAS 2024'!$I$9:$I$874,B244)</f>
        <v>0</v>
      </c>
      <c r="W244" s="30">
        <f>COUNTIFS('AT. MEDICAS 2024'!$A$9:$A$874,"21/10/2025",'AT. MEDICAS 2024'!$I$9:$I$874,B244)</f>
        <v>0</v>
      </c>
      <c r="X244" s="30">
        <f>COUNTIFS('AT. MEDICAS 2024'!$A$9:$A$874,"22/10/2025",'AT. MEDICAS 2024'!$I$9:$I$874,B244)</f>
        <v>0</v>
      </c>
      <c r="Y244" s="30">
        <f>COUNTIFS('AT. MEDICAS 2024'!$A$9:$A$874,"23/10/2025",'AT. MEDICAS 2024'!$I$9:$I$874,B244)</f>
        <v>0</v>
      </c>
      <c r="Z244" s="30">
        <f>COUNTIFS('AT. MEDICAS 2024'!$A$9:$A$874,"24/10/2025",'AT. MEDICAS 2024'!$I$9:$I$874,B244)</f>
        <v>0</v>
      </c>
      <c r="AA244" s="30">
        <f>COUNTIFS('AT. MEDICAS 2024'!$A$9:$A$874,"25/10/2025",'AT. MEDICAS 2024'!$I$9:$I$874,B244)</f>
        <v>0</v>
      </c>
      <c r="AB244" s="30">
        <f>COUNTIFS('AT. MEDICAS 2024'!$A$9:$A$874,"26/10/2025",'AT. MEDICAS 2024'!$I$9:$I$874,B244)</f>
        <v>0</v>
      </c>
      <c r="AC244" s="30">
        <f>COUNTIFS('AT. MEDICAS 2024'!$A$9:$A$874,"27/10/2025",'AT. MEDICAS 2024'!$I$9:$I$874,B244)</f>
        <v>0</v>
      </c>
      <c r="AD244" s="30">
        <f>COUNTIFS('AT. MEDICAS 2024'!$A$9:$A$874,"28/10/2025",'AT. MEDICAS 2024'!$I$9:$I$874,B244)</f>
        <v>0</v>
      </c>
      <c r="AE244" s="30">
        <f>COUNTIFS('AT. MEDICAS 2024'!$A$9:$A$874,"29/10/2025",'AT. MEDICAS 2024'!$I$9:$I$874,B244)</f>
        <v>0</v>
      </c>
      <c r="AF244" s="30">
        <f>COUNTIFS('AT. MEDICAS 2024'!$A$9:$A$874,"30/10/2025",'AT. MEDICAS 2024'!$I$9:$I$874,B244)</f>
        <v>0</v>
      </c>
      <c r="AG244" s="30">
        <f>COUNTIFS('AT. MEDICAS 2024'!$A$9:$A$874,"31/10/2025",'AT. MEDICAS 2024'!$I$9:$I$874,B244)</f>
        <v>0</v>
      </c>
      <c r="AH244" s="55">
        <f t="shared" si="29"/>
        <v>0</v>
      </c>
    </row>
    <row r="245" spans="1:34" ht="13.8" thickBot="1" x14ac:dyDescent="0.3">
      <c r="A245" s="41">
        <v>10</v>
      </c>
      <c r="B245" s="54" t="s">
        <v>97</v>
      </c>
      <c r="C245" s="30">
        <f>COUNTIFS('AT. MEDICAS 2024'!$A$9:$A$874,"01/10/2025",'AT. MEDICAS 2024'!$I$9:$I$874,B245)</f>
        <v>0</v>
      </c>
      <c r="D245" s="30">
        <f>COUNTIFS('AT. MEDICAS 2024'!$A$9:$A$874,"02/10/2025",'AT. MEDICAS 2024'!$I$9:$I$874,B245)</f>
        <v>0</v>
      </c>
      <c r="E245" s="30">
        <f>COUNTIFS('AT. MEDICAS 2024'!$A$9:$A$874,"03/10/2025",'AT. MEDICAS 2024'!$I$9:$I$874,B245)</f>
        <v>0</v>
      </c>
      <c r="F245" s="30">
        <f>COUNTIFS('AT. MEDICAS 2024'!$A$9:$A$874,"04/10/2025",'AT. MEDICAS 2024'!$I$9:$I$874,B245)</f>
        <v>0</v>
      </c>
      <c r="G245" s="30">
        <f>COUNTIFS('AT. MEDICAS 2024'!$A$9:$A$874,"05/10/2025",'AT. MEDICAS 2024'!$I$9:$I$874,B245)</f>
        <v>0</v>
      </c>
      <c r="H245" s="30">
        <f>COUNTIFS('AT. MEDICAS 2024'!$A$9:$A$874,"06/10/2025",'AT. MEDICAS 2024'!$I$9:$I$874,B245)</f>
        <v>0</v>
      </c>
      <c r="I245" s="30">
        <f>COUNTIFS('AT. MEDICAS 2024'!$A$9:$A$874,"07/10/2025",'AT. MEDICAS 2024'!$I$9:$I$874,B245)</f>
        <v>0</v>
      </c>
      <c r="J245" s="30">
        <f>COUNTIFS('AT. MEDICAS 2024'!$A$9:$A$874,"08/10/2025",'AT. MEDICAS 2024'!$I$9:$I$874,B245)</f>
        <v>0</v>
      </c>
      <c r="K245" s="30">
        <f>COUNTIFS('AT. MEDICAS 2024'!$A$9:$A$874,"09/10/2025",'AT. MEDICAS 2024'!$I$9:$I$874,B245)</f>
        <v>0</v>
      </c>
      <c r="L245" s="30">
        <f>COUNTIFS('AT. MEDICAS 2024'!$A$9:$A$874,"10/10/2025",'AT. MEDICAS 2024'!$I$9:$I$874,B245)</f>
        <v>0</v>
      </c>
      <c r="M245" s="30">
        <f>COUNTIFS('AT. MEDICAS 2024'!$A$9:$A$874,"11/10/2025",'AT. MEDICAS 2024'!$I$9:$I$874,B245)</f>
        <v>0</v>
      </c>
      <c r="N245" s="30">
        <f>COUNTIFS('AT. MEDICAS 2024'!$A$9:$A$874,"12/10/2025",'AT. MEDICAS 2024'!$I$9:$I$874,B245)</f>
        <v>0</v>
      </c>
      <c r="O245" s="30">
        <f>COUNTIFS('AT. MEDICAS 2024'!$A$9:$A$874,"13/10/2025",'AT. MEDICAS 2024'!$I$9:$I$874,B245)</f>
        <v>0</v>
      </c>
      <c r="P245" s="30">
        <f>COUNTIFS('AT. MEDICAS 2024'!$A$9:$A$874,"14/10/2025",'AT. MEDICAS 2024'!$I$9:$I$874,B245)</f>
        <v>0</v>
      </c>
      <c r="Q245" s="30">
        <f>COUNTIFS('AT. MEDICAS 2024'!$A$9:$A$874,"15/10/2025",'AT. MEDICAS 2024'!$I$9:$I$874,B245)</f>
        <v>0</v>
      </c>
      <c r="R245" s="30">
        <f>COUNTIFS('AT. MEDICAS 2024'!$A$9:$A$874,"16/10/2025",'AT. MEDICAS 2024'!$I$9:$I$874,B245)</f>
        <v>0</v>
      </c>
      <c r="S245" s="30">
        <f>COUNTIFS('AT. MEDICAS 2024'!$A$9:$A$874,"17/10/2025",'AT. MEDICAS 2024'!$I$9:$I$874,B245)</f>
        <v>0</v>
      </c>
      <c r="T245" s="30">
        <f>COUNTIFS('AT. MEDICAS 2024'!$A$9:$A$874,"18/10/2025",'AT. MEDICAS 2024'!$I$9:$I$874,B245)</f>
        <v>0</v>
      </c>
      <c r="U245" s="30">
        <f>COUNTIFS('AT. MEDICAS 2024'!$A$9:$A$874,"19/10/2025",'AT. MEDICAS 2024'!$I$9:$I$874,B245)</f>
        <v>0</v>
      </c>
      <c r="V245" s="30">
        <f>COUNTIFS('AT. MEDICAS 2024'!$A$9:$A$874,"20/10/2025",'AT. MEDICAS 2024'!$I$9:$I$874,B245)</f>
        <v>0</v>
      </c>
      <c r="W245" s="30">
        <f>COUNTIFS('AT. MEDICAS 2024'!$A$9:$A$874,"21/10/2025",'AT. MEDICAS 2024'!$I$9:$I$874,B245)</f>
        <v>0</v>
      </c>
      <c r="X245" s="30">
        <f>COUNTIFS('AT. MEDICAS 2024'!$A$9:$A$874,"22/10/2025",'AT. MEDICAS 2024'!$I$9:$I$874,B245)</f>
        <v>0</v>
      </c>
      <c r="Y245" s="30">
        <f>COUNTIFS('AT. MEDICAS 2024'!$A$9:$A$874,"23/10/2025",'AT. MEDICAS 2024'!$I$9:$I$874,B245)</f>
        <v>0</v>
      </c>
      <c r="Z245" s="30">
        <f>COUNTIFS('AT. MEDICAS 2024'!$A$9:$A$874,"24/10/2025",'AT. MEDICAS 2024'!$I$9:$I$874,B245)</f>
        <v>0</v>
      </c>
      <c r="AA245" s="30">
        <f>COUNTIFS('AT. MEDICAS 2024'!$A$9:$A$874,"25/10/2025",'AT. MEDICAS 2024'!$I$9:$I$874,B245)</f>
        <v>0</v>
      </c>
      <c r="AB245" s="30">
        <f>COUNTIFS('AT. MEDICAS 2024'!$A$9:$A$874,"26/10/2025",'AT. MEDICAS 2024'!$I$9:$I$874,B245)</f>
        <v>0</v>
      </c>
      <c r="AC245" s="30">
        <f>COUNTIFS('AT. MEDICAS 2024'!$A$9:$A$874,"27/10/2025",'AT. MEDICAS 2024'!$I$9:$I$874,B245)</f>
        <v>0</v>
      </c>
      <c r="AD245" s="30">
        <f>COUNTIFS('AT. MEDICAS 2024'!$A$9:$A$874,"28/10/2025",'AT. MEDICAS 2024'!$I$9:$I$874,B245)</f>
        <v>0</v>
      </c>
      <c r="AE245" s="30">
        <f>COUNTIFS('AT. MEDICAS 2024'!$A$9:$A$874,"29/10/2025",'AT. MEDICAS 2024'!$I$9:$I$874,B245)</f>
        <v>0</v>
      </c>
      <c r="AF245" s="30">
        <f>COUNTIFS('AT. MEDICAS 2024'!$A$9:$A$874,"30/10/2025",'AT. MEDICAS 2024'!$I$9:$I$874,B245)</f>
        <v>0</v>
      </c>
      <c r="AG245" s="30">
        <f>COUNTIFS('AT. MEDICAS 2024'!$A$9:$A$874,"31/10/2025",'AT. MEDICAS 2024'!$I$9:$I$874,B245)</f>
        <v>0</v>
      </c>
      <c r="AH245" s="55">
        <f t="shared" si="29"/>
        <v>0</v>
      </c>
    </row>
    <row r="246" spans="1:34" ht="13.8" thickBot="1" x14ac:dyDescent="0.3">
      <c r="A246" s="41">
        <v>11</v>
      </c>
      <c r="B246" s="54" t="s">
        <v>21</v>
      </c>
      <c r="C246" s="30">
        <f>COUNTIFS('AT. MEDICAS 2024'!$A$9:$A$874,"01/10/2025",'AT. MEDICAS 2024'!$I$9:$I$874,B246)</f>
        <v>0</v>
      </c>
      <c r="D246" s="30">
        <f>COUNTIFS('AT. MEDICAS 2024'!$A$9:$A$874,"02/10/2025",'AT. MEDICAS 2024'!$I$9:$I$874,B246)</f>
        <v>0</v>
      </c>
      <c r="E246" s="30">
        <f>COUNTIFS('AT. MEDICAS 2024'!$A$9:$A$874,"03/10/2025",'AT. MEDICAS 2024'!$I$9:$I$874,B246)</f>
        <v>0</v>
      </c>
      <c r="F246" s="30">
        <f>COUNTIFS('AT. MEDICAS 2024'!$A$9:$A$874,"04/10/2025",'AT. MEDICAS 2024'!$I$9:$I$874,B246)</f>
        <v>0</v>
      </c>
      <c r="G246" s="30">
        <f>COUNTIFS('AT. MEDICAS 2024'!$A$9:$A$874,"05/10/2025",'AT. MEDICAS 2024'!$I$9:$I$874,B246)</f>
        <v>0</v>
      </c>
      <c r="H246" s="30">
        <f>COUNTIFS('AT. MEDICAS 2024'!$A$9:$A$874,"06/10/2025",'AT. MEDICAS 2024'!$I$9:$I$874,B246)</f>
        <v>0</v>
      </c>
      <c r="I246" s="30">
        <f>COUNTIFS('AT. MEDICAS 2024'!$A$9:$A$874,"07/10/2025",'AT. MEDICAS 2024'!$I$9:$I$874,B246)</f>
        <v>0</v>
      </c>
      <c r="J246" s="30">
        <f>COUNTIFS('AT. MEDICAS 2024'!$A$9:$A$874,"08/10/2025",'AT. MEDICAS 2024'!$I$9:$I$874,B246)</f>
        <v>0</v>
      </c>
      <c r="K246" s="30">
        <f>COUNTIFS('AT. MEDICAS 2024'!$A$9:$A$874,"09/10/2025",'AT. MEDICAS 2024'!$I$9:$I$874,B246)</f>
        <v>0</v>
      </c>
      <c r="L246" s="30">
        <f>COUNTIFS('AT. MEDICAS 2024'!$A$9:$A$874,"10/10/2025",'AT. MEDICAS 2024'!$I$9:$I$874,B246)</f>
        <v>0</v>
      </c>
      <c r="M246" s="30">
        <f>COUNTIFS('AT. MEDICAS 2024'!$A$9:$A$874,"11/10/2025",'AT. MEDICAS 2024'!$I$9:$I$874,B246)</f>
        <v>0</v>
      </c>
      <c r="N246" s="30">
        <f>COUNTIFS('AT. MEDICAS 2024'!$A$9:$A$874,"12/10/2025",'AT. MEDICAS 2024'!$I$9:$I$874,B246)</f>
        <v>0</v>
      </c>
      <c r="O246" s="30">
        <f>COUNTIFS('AT. MEDICAS 2024'!$A$9:$A$874,"13/10/2025",'AT. MEDICAS 2024'!$I$9:$I$874,B246)</f>
        <v>0</v>
      </c>
      <c r="P246" s="30">
        <f>COUNTIFS('AT. MEDICAS 2024'!$A$9:$A$874,"14/10/2025",'AT. MEDICAS 2024'!$I$9:$I$874,B246)</f>
        <v>0</v>
      </c>
      <c r="Q246" s="30">
        <f>COUNTIFS('AT. MEDICAS 2024'!$A$9:$A$874,"15/10/2025",'AT. MEDICAS 2024'!$I$9:$I$874,B246)</f>
        <v>0</v>
      </c>
      <c r="R246" s="30">
        <f>COUNTIFS('AT. MEDICAS 2024'!$A$9:$A$874,"16/10/2025",'AT. MEDICAS 2024'!$I$9:$I$874,B246)</f>
        <v>0</v>
      </c>
      <c r="S246" s="30">
        <f>COUNTIFS('AT. MEDICAS 2024'!$A$9:$A$874,"17/10/2025",'AT. MEDICAS 2024'!$I$9:$I$874,B246)</f>
        <v>0</v>
      </c>
      <c r="T246" s="30">
        <f>COUNTIFS('AT. MEDICAS 2024'!$A$9:$A$874,"18/10/2025",'AT. MEDICAS 2024'!$I$9:$I$874,B246)</f>
        <v>0</v>
      </c>
      <c r="U246" s="30">
        <f>COUNTIFS('AT. MEDICAS 2024'!$A$9:$A$874,"19/10/2025",'AT. MEDICAS 2024'!$I$9:$I$874,B246)</f>
        <v>0</v>
      </c>
      <c r="V246" s="30">
        <f>COUNTIFS('AT. MEDICAS 2024'!$A$9:$A$874,"20/10/2025",'AT. MEDICAS 2024'!$I$9:$I$874,B246)</f>
        <v>0</v>
      </c>
      <c r="W246" s="30">
        <f>COUNTIFS('AT. MEDICAS 2024'!$A$9:$A$874,"21/10/2025",'AT. MEDICAS 2024'!$I$9:$I$874,B246)</f>
        <v>0</v>
      </c>
      <c r="X246" s="30">
        <f>COUNTIFS('AT. MEDICAS 2024'!$A$9:$A$874,"22/10/2025",'AT. MEDICAS 2024'!$I$9:$I$874,B246)</f>
        <v>0</v>
      </c>
      <c r="Y246" s="30">
        <f>COUNTIFS('AT. MEDICAS 2024'!$A$9:$A$874,"23/10/2025",'AT. MEDICAS 2024'!$I$9:$I$874,B246)</f>
        <v>0</v>
      </c>
      <c r="Z246" s="30">
        <f>COUNTIFS('AT. MEDICAS 2024'!$A$9:$A$874,"24/10/2025",'AT. MEDICAS 2024'!$I$9:$I$874,B246)</f>
        <v>0</v>
      </c>
      <c r="AA246" s="30">
        <f>COUNTIFS('AT. MEDICAS 2024'!$A$9:$A$874,"25/10/2025",'AT. MEDICAS 2024'!$I$9:$I$874,B246)</f>
        <v>0</v>
      </c>
      <c r="AB246" s="30">
        <f>COUNTIFS('AT. MEDICAS 2024'!$A$9:$A$874,"26/10/2025",'AT. MEDICAS 2024'!$I$9:$I$874,B246)</f>
        <v>0</v>
      </c>
      <c r="AC246" s="30">
        <f>COUNTIFS('AT. MEDICAS 2024'!$A$9:$A$874,"27/10/2025",'AT. MEDICAS 2024'!$I$9:$I$874,B246)</f>
        <v>0</v>
      </c>
      <c r="AD246" s="30">
        <f>COUNTIFS('AT. MEDICAS 2024'!$A$9:$A$874,"28/10/2025",'AT. MEDICAS 2024'!$I$9:$I$874,B246)</f>
        <v>0</v>
      </c>
      <c r="AE246" s="30">
        <f>COUNTIFS('AT. MEDICAS 2024'!$A$9:$A$874,"29/10/2025",'AT. MEDICAS 2024'!$I$9:$I$874,B246)</f>
        <v>0</v>
      </c>
      <c r="AF246" s="30">
        <f>COUNTIFS('AT. MEDICAS 2024'!$A$9:$A$874,"30/10/2025",'AT. MEDICAS 2024'!$I$9:$I$874,B246)</f>
        <v>0</v>
      </c>
      <c r="AG246" s="30">
        <f>COUNTIFS('AT. MEDICAS 2024'!$A$9:$A$874,"31/10/2025",'AT. MEDICAS 2024'!$I$9:$I$874,B246)</f>
        <v>0</v>
      </c>
      <c r="AH246" s="55">
        <f t="shared" si="29"/>
        <v>0</v>
      </c>
    </row>
    <row r="247" spans="1:34" ht="13.8" thickBot="1" x14ac:dyDescent="0.3">
      <c r="A247" s="41">
        <v>12</v>
      </c>
      <c r="B247" s="54" t="s">
        <v>23</v>
      </c>
      <c r="C247" s="30">
        <f>COUNTIFS('AT. MEDICAS 2024'!$A$9:$A$874,"01/10/2025",'AT. MEDICAS 2024'!$I$9:$I$874,B247)</f>
        <v>0</v>
      </c>
      <c r="D247" s="30">
        <f>COUNTIFS('AT. MEDICAS 2024'!$A$9:$A$874,"02/10/2025",'AT. MEDICAS 2024'!$I$9:$I$874,B247)</f>
        <v>0</v>
      </c>
      <c r="E247" s="30">
        <f>COUNTIFS('AT. MEDICAS 2024'!$A$9:$A$874,"03/10/2025",'AT. MEDICAS 2024'!$I$9:$I$874,B247)</f>
        <v>0</v>
      </c>
      <c r="F247" s="30">
        <f>COUNTIFS('AT. MEDICAS 2024'!$A$9:$A$874,"04/10/2025",'AT. MEDICAS 2024'!$I$9:$I$874,B247)</f>
        <v>0</v>
      </c>
      <c r="G247" s="30">
        <f>COUNTIFS('AT. MEDICAS 2024'!$A$9:$A$874,"05/10/2025",'AT. MEDICAS 2024'!$I$9:$I$874,B247)</f>
        <v>0</v>
      </c>
      <c r="H247" s="30">
        <f>COUNTIFS('AT. MEDICAS 2024'!$A$9:$A$874,"06/10/2025",'AT. MEDICAS 2024'!$I$9:$I$874,B247)</f>
        <v>0</v>
      </c>
      <c r="I247" s="30">
        <f>COUNTIFS('AT. MEDICAS 2024'!$A$9:$A$874,"07/10/2025",'AT. MEDICAS 2024'!$I$9:$I$874,B247)</f>
        <v>0</v>
      </c>
      <c r="J247" s="30">
        <f>COUNTIFS('AT. MEDICAS 2024'!$A$9:$A$874,"08/10/2025",'AT. MEDICAS 2024'!$I$9:$I$874,B247)</f>
        <v>0</v>
      </c>
      <c r="K247" s="30">
        <f>COUNTIFS('AT. MEDICAS 2024'!$A$9:$A$874,"09/10/2025",'AT. MEDICAS 2024'!$I$9:$I$874,B247)</f>
        <v>0</v>
      </c>
      <c r="L247" s="30">
        <f>COUNTIFS('AT. MEDICAS 2024'!$A$9:$A$874,"10/10/2025",'AT. MEDICAS 2024'!$I$9:$I$874,B247)</f>
        <v>0</v>
      </c>
      <c r="M247" s="30">
        <f>COUNTIFS('AT. MEDICAS 2024'!$A$9:$A$874,"11/10/2025",'AT. MEDICAS 2024'!$I$9:$I$874,B247)</f>
        <v>0</v>
      </c>
      <c r="N247" s="30">
        <f>COUNTIFS('AT. MEDICAS 2024'!$A$9:$A$874,"12/10/2025",'AT. MEDICAS 2024'!$I$9:$I$874,B247)</f>
        <v>0</v>
      </c>
      <c r="O247" s="30">
        <f>COUNTIFS('AT. MEDICAS 2024'!$A$9:$A$874,"13/10/2025",'AT. MEDICAS 2024'!$I$9:$I$874,B247)</f>
        <v>0</v>
      </c>
      <c r="P247" s="30">
        <f>COUNTIFS('AT. MEDICAS 2024'!$A$9:$A$874,"14/10/2025",'AT. MEDICAS 2024'!$I$9:$I$874,B247)</f>
        <v>0</v>
      </c>
      <c r="Q247" s="30">
        <f>COUNTIFS('AT. MEDICAS 2024'!$A$9:$A$874,"15/10/2025",'AT. MEDICAS 2024'!$I$9:$I$874,B247)</f>
        <v>0</v>
      </c>
      <c r="R247" s="30">
        <f>COUNTIFS('AT. MEDICAS 2024'!$A$9:$A$874,"16/10/2025",'AT. MEDICAS 2024'!$I$9:$I$874,B247)</f>
        <v>0</v>
      </c>
      <c r="S247" s="30">
        <f>COUNTIFS('AT. MEDICAS 2024'!$A$9:$A$874,"17/10/2025",'AT. MEDICAS 2024'!$I$9:$I$874,B247)</f>
        <v>0</v>
      </c>
      <c r="T247" s="30">
        <f>COUNTIFS('AT. MEDICAS 2024'!$A$9:$A$874,"18/10/2025",'AT. MEDICAS 2024'!$I$9:$I$874,B247)</f>
        <v>0</v>
      </c>
      <c r="U247" s="30">
        <f>COUNTIFS('AT. MEDICAS 2024'!$A$9:$A$874,"19/10/2025",'AT. MEDICAS 2024'!$I$9:$I$874,B247)</f>
        <v>0</v>
      </c>
      <c r="V247" s="30">
        <f>COUNTIFS('AT. MEDICAS 2024'!$A$9:$A$874,"20/10/2025",'AT. MEDICAS 2024'!$I$9:$I$874,B247)</f>
        <v>0</v>
      </c>
      <c r="W247" s="30">
        <f>COUNTIFS('AT. MEDICAS 2024'!$A$9:$A$874,"21/10/2025",'AT. MEDICAS 2024'!$I$9:$I$874,B247)</f>
        <v>0</v>
      </c>
      <c r="X247" s="30">
        <f>COUNTIFS('AT. MEDICAS 2024'!$A$9:$A$874,"22/10/2025",'AT. MEDICAS 2024'!$I$9:$I$874,B247)</f>
        <v>0</v>
      </c>
      <c r="Y247" s="30">
        <f>COUNTIFS('AT. MEDICAS 2024'!$A$9:$A$874,"23/10/2025",'AT. MEDICAS 2024'!$I$9:$I$874,B247)</f>
        <v>0</v>
      </c>
      <c r="Z247" s="30">
        <f>COUNTIFS('AT. MEDICAS 2024'!$A$9:$A$874,"24/10/2025",'AT. MEDICAS 2024'!$I$9:$I$874,B247)</f>
        <v>0</v>
      </c>
      <c r="AA247" s="30">
        <f>COUNTIFS('AT. MEDICAS 2024'!$A$9:$A$874,"25/10/2025",'AT. MEDICAS 2024'!$I$9:$I$874,B247)</f>
        <v>0</v>
      </c>
      <c r="AB247" s="30">
        <f>COUNTIFS('AT. MEDICAS 2024'!$A$9:$A$874,"26/10/2025",'AT. MEDICAS 2024'!$I$9:$I$874,B247)</f>
        <v>0</v>
      </c>
      <c r="AC247" s="30">
        <f>COUNTIFS('AT. MEDICAS 2024'!$A$9:$A$874,"27/10/2025",'AT. MEDICAS 2024'!$I$9:$I$874,B247)</f>
        <v>0</v>
      </c>
      <c r="AD247" s="30">
        <f>COUNTIFS('AT. MEDICAS 2024'!$A$9:$A$874,"28/10/2025",'AT. MEDICAS 2024'!$I$9:$I$874,B247)</f>
        <v>0</v>
      </c>
      <c r="AE247" s="30">
        <f>COUNTIFS('AT. MEDICAS 2024'!$A$9:$A$874,"29/10/2025",'AT. MEDICAS 2024'!$I$9:$I$874,B247)</f>
        <v>0</v>
      </c>
      <c r="AF247" s="30">
        <f>COUNTIFS('AT. MEDICAS 2024'!$A$9:$A$874,"30/10/2025",'AT. MEDICAS 2024'!$I$9:$I$874,B247)</f>
        <v>0</v>
      </c>
      <c r="AG247" s="30">
        <f>COUNTIFS('AT. MEDICAS 2024'!$A$9:$A$874,"31/10/2025",'AT. MEDICAS 2024'!$I$9:$I$874,B247)</f>
        <v>0</v>
      </c>
      <c r="AH247" s="55">
        <f t="shared" si="29"/>
        <v>0</v>
      </c>
    </row>
    <row r="248" spans="1:34" ht="13.8" thickBot="1" x14ac:dyDescent="0.3">
      <c r="A248" s="41">
        <v>13</v>
      </c>
      <c r="B248" s="54" t="s">
        <v>57</v>
      </c>
      <c r="C248" s="30">
        <f>COUNTIFS('AT. MEDICAS 2024'!$A$9:$A$874,"01/10/2025",'AT. MEDICAS 2024'!$I$9:$I$874,B248)</f>
        <v>0</v>
      </c>
      <c r="D248" s="30">
        <f>COUNTIFS('AT. MEDICAS 2024'!$A$9:$A$874,"02/10/2025",'AT. MEDICAS 2024'!$I$9:$I$874,B248)</f>
        <v>0</v>
      </c>
      <c r="E248" s="30">
        <f>COUNTIFS('AT. MEDICAS 2024'!$A$9:$A$874,"03/10/2025",'AT. MEDICAS 2024'!$I$9:$I$874,B248)</f>
        <v>0</v>
      </c>
      <c r="F248" s="30">
        <f>COUNTIFS('AT. MEDICAS 2024'!$A$9:$A$874,"04/10/2025",'AT. MEDICAS 2024'!$I$9:$I$874,B248)</f>
        <v>0</v>
      </c>
      <c r="G248" s="30">
        <f>COUNTIFS('AT. MEDICAS 2024'!$A$9:$A$874,"05/10/2025",'AT. MEDICAS 2024'!$I$9:$I$874,B248)</f>
        <v>0</v>
      </c>
      <c r="H248" s="30">
        <f>COUNTIFS('AT. MEDICAS 2024'!$A$9:$A$874,"06/10/2025",'AT. MEDICAS 2024'!$I$9:$I$874,B248)</f>
        <v>0</v>
      </c>
      <c r="I248" s="30">
        <f>COUNTIFS('AT. MEDICAS 2024'!$A$9:$A$874,"07/10/2025",'AT. MEDICAS 2024'!$I$9:$I$874,B248)</f>
        <v>0</v>
      </c>
      <c r="J248" s="30">
        <f>COUNTIFS('AT. MEDICAS 2024'!$A$9:$A$874,"08/10/2025",'AT. MEDICAS 2024'!$I$9:$I$874,B248)</f>
        <v>0</v>
      </c>
      <c r="K248" s="30">
        <f>COUNTIFS('AT. MEDICAS 2024'!$A$9:$A$874,"09/10/2025",'AT. MEDICAS 2024'!$I$9:$I$874,B248)</f>
        <v>0</v>
      </c>
      <c r="L248" s="30">
        <f>COUNTIFS('AT. MEDICAS 2024'!$A$9:$A$874,"10/10/2025",'AT. MEDICAS 2024'!$I$9:$I$874,B248)</f>
        <v>0</v>
      </c>
      <c r="M248" s="30">
        <f>COUNTIFS('AT. MEDICAS 2024'!$A$9:$A$874,"11/10/2025",'AT. MEDICAS 2024'!$I$9:$I$874,B248)</f>
        <v>0</v>
      </c>
      <c r="N248" s="30">
        <f>COUNTIFS('AT. MEDICAS 2024'!$A$9:$A$874,"12/10/2025",'AT. MEDICAS 2024'!$I$9:$I$874,B248)</f>
        <v>0</v>
      </c>
      <c r="O248" s="30">
        <f>COUNTIFS('AT. MEDICAS 2024'!$A$9:$A$874,"13/10/2025",'AT. MEDICAS 2024'!$I$9:$I$874,B248)</f>
        <v>0</v>
      </c>
      <c r="P248" s="30">
        <f>COUNTIFS('AT. MEDICAS 2024'!$A$9:$A$874,"14/10/2025",'AT. MEDICAS 2024'!$I$9:$I$874,B248)</f>
        <v>0</v>
      </c>
      <c r="Q248" s="30">
        <f>COUNTIFS('AT. MEDICAS 2024'!$A$9:$A$874,"15/10/2025",'AT. MEDICAS 2024'!$I$9:$I$874,B248)</f>
        <v>0</v>
      </c>
      <c r="R248" s="30">
        <f>COUNTIFS('AT. MEDICAS 2024'!$A$9:$A$874,"16/10/2025",'AT. MEDICAS 2024'!$I$9:$I$874,B248)</f>
        <v>0</v>
      </c>
      <c r="S248" s="30">
        <f>COUNTIFS('AT. MEDICAS 2024'!$A$9:$A$874,"17/10/2025",'AT. MEDICAS 2024'!$I$9:$I$874,B248)</f>
        <v>0</v>
      </c>
      <c r="T248" s="30">
        <f>COUNTIFS('AT. MEDICAS 2024'!$A$9:$A$874,"18/10/2025",'AT. MEDICAS 2024'!$I$9:$I$874,B248)</f>
        <v>0</v>
      </c>
      <c r="U248" s="30">
        <f>COUNTIFS('AT. MEDICAS 2024'!$A$9:$A$874,"19/10/2025",'AT. MEDICAS 2024'!$I$9:$I$874,B248)</f>
        <v>0</v>
      </c>
      <c r="V248" s="30">
        <f>COUNTIFS('AT. MEDICAS 2024'!$A$9:$A$874,"20/10/2025",'AT. MEDICAS 2024'!$I$9:$I$874,B248)</f>
        <v>0</v>
      </c>
      <c r="W248" s="30">
        <f>COUNTIFS('AT. MEDICAS 2024'!$A$9:$A$874,"21/10/2025",'AT. MEDICAS 2024'!$I$9:$I$874,B248)</f>
        <v>0</v>
      </c>
      <c r="X248" s="30">
        <f>COUNTIFS('AT. MEDICAS 2024'!$A$9:$A$874,"22/10/2025",'AT. MEDICAS 2024'!$I$9:$I$874,B248)</f>
        <v>0</v>
      </c>
      <c r="Y248" s="30">
        <f>COUNTIFS('AT. MEDICAS 2024'!$A$9:$A$874,"23/10/2025",'AT. MEDICAS 2024'!$I$9:$I$874,B248)</f>
        <v>0</v>
      </c>
      <c r="Z248" s="30">
        <f>COUNTIFS('AT. MEDICAS 2024'!$A$9:$A$874,"24/10/2025",'AT. MEDICAS 2024'!$I$9:$I$874,B248)</f>
        <v>0</v>
      </c>
      <c r="AA248" s="30">
        <f>COUNTIFS('AT. MEDICAS 2024'!$A$9:$A$874,"25/10/2025",'AT. MEDICAS 2024'!$I$9:$I$874,B248)</f>
        <v>0</v>
      </c>
      <c r="AB248" s="30">
        <f>COUNTIFS('AT. MEDICAS 2024'!$A$9:$A$874,"26/10/2025",'AT. MEDICAS 2024'!$I$9:$I$874,B248)</f>
        <v>0</v>
      </c>
      <c r="AC248" s="30">
        <f>COUNTIFS('AT. MEDICAS 2024'!$A$9:$A$874,"27/10/2025",'AT. MEDICAS 2024'!$I$9:$I$874,B248)</f>
        <v>0</v>
      </c>
      <c r="AD248" s="30">
        <f>COUNTIFS('AT. MEDICAS 2024'!$A$9:$A$874,"28/10/2025",'AT. MEDICAS 2024'!$I$9:$I$874,B248)</f>
        <v>0</v>
      </c>
      <c r="AE248" s="30">
        <f>COUNTIFS('AT. MEDICAS 2024'!$A$9:$A$874,"29/10/2025",'AT. MEDICAS 2024'!$I$9:$I$874,B248)</f>
        <v>0</v>
      </c>
      <c r="AF248" s="30">
        <f>COUNTIFS('AT. MEDICAS 2024'!$A$9:$A$874,"30/10/2025",'AT. MEDICAS 2024'!$I$9:$I$874,B248)</f>
        <v>0</v>
      </c>
      <c r="AG248" s="30">
        <f>COUNTIFS('AT. MEDICAS 2024'!$A$9:$A$874,"31/10/2025",'AT. MEDICAS 2024'!$I$9:$I$874,B248)</f>
        <v>0</v>
      </c>
      <c r="AH248" s="55">
        <f t="shared" si="29"/>
        <v>0</v>
      </c>
    </row>
    <row r="249" spans="1:34" ht="13.8" thickBot="1" x14ac:dyDescent="0.3">
      <c r="A249" s="41">
        <v>14</v>
      </c>
      <c r="B249" s="54" t="s">
        <v>66</v>
      </c>
      <c r="C249" s="30">
        <f>COUNTIFS('AT. MEDICAS 2024'!$A$9:$A$874,"01/10/2025",'AT. MEDICAS 2024'!$I$9:$I$874,B249)</f>
        <v>0</v>
      </c>
      <c r="D249" s="30">
        <f>COUNTIFS('AT. MEDICAS 2024'!$A$9:$A$874,"02/10/2025",'AT. MEDICAS 2024'!$I$9:$I$874,B249)</f>
        <v>0</v>
      </c>
      <c r="E249" s="30">
        <f>COUNTIFS('AT. MEDICAS 2024'!$A$9:$A$874,"03/10/2025",'AT. MEDICAS 2024'!$I$9:$I$874,B249)</f>
        <v>0</v>
      </c>
      <c r="F249" s="30">
        <f>COUNTIFS('AT. MEDICAS 2024'!$A$9:$A$874,"04/10/2025",'AT. MEDICAS 2024'!$I$9:$I$874,B249)</f>
        <v>0</v>
      </c>
      <c r="G249" s="30">
        <f>COUNTIFS('AT. MEDICAS 2024'!$A$9:$A$874,"05/10/2025",'AT. MEDICAS 2024'!$I$9:$I$874,B249)</f>
        <v>0</v>
      </c>
      <c r="H249" s="30">
        <f>COUNTIFS('AT. MEDICAS 2024'!$A$9:$A$874,"06/10/2025",'AT. MEDICAS 2024'!$I$9:$I$874,B249)</f>
        <v>0</v>
      </c>
      <c r="I249" s="30">
        <f>COUNTIFS('AT. MEDICAS 2024'!$A$9:$A$874,"07/10/2025",'AT. MEDICAS 2024'!$I$9:$I$874,B249)</f>
        <v>0</v>
      </c>
      <c r="J249" s="30">
        <f>COUNTIFS('AT. MEDICAS 2024'!$A$9:$A$874,"08/10/2025",'AT. MEDICAS 2024'!$I$9:$I$874,B249)</f>
        <v>0</v>
      </c>
      <c r="K249" s="30">
        <f>COUNTIFS('AT. MEDICAS 2024'!$A$9:$A$874,"09/10/2025",'AT. MEDICAS 2024'!$I$9:$I$874,B249)</f>
        <v>0</v>
      </c>
      <c r="L249" s="30">
        <f>COUNTIFS('AT. MEDICAS 2024'!$A$9:$A$874,"10/10/2025",'AT. MEDICAS 2024'!$I$9:$I$874,B249)</f>
        <v>0</v>
      </c>
      <c r="M249" s="30">
        <f>COUNTIFS('AT. MEDICAS 2024'!$A$9:$A$874,"11/10/2025",'AT. MEDICAS 2024'!$I$9:$I$874,B249)</f>
        <v>0</v>
      </c>
      <c r="N249" s="30">
        <f>COUNTIFS('AT. MEDICAS 2024'!$A$9:$A$874,"12/10/2025",'AT. MEDICAS 2024'!$I$9:$I$874,B249)</f>
        <v>0</v>
      </c>
      <c r="O249" s="30">
        <f>COUNTIFS('AT. MEDICAS 2024'!$A$9:$A$874,"13/10/2025",'AT. MEDICAS 2024'!$I$9:$I$874,B249)</f>
        <v>0</v>
      </c>
      <c r="P249" s="30">
        <f>COUNTIFS('AT. MEDICAS 2024'!$A$9:$A$874,"14/10/2025",'AT. MEDICAS 2024'!$I$9:$I$874,B249)</f>
        <v>0</v>
      </c>
      <c r="Q249" s="30">
        <f>COUNTIFS('AT. MEDICAS 2024'!$A$9:$A$874,"15/10/2025",'AT. MEDICAS 2024'!$I$9:$I$874,B249)</f>
        <v>0</v>
      </c>
      <c r="R249" s="30">
        <f>COUNTIFS('AT. MEDICAS 2024'!$A$9:$A$874,"16/10/2025",'AT. MEDICAS 2024'!$I$9:$I$874,B249)</f>
        <v>0</v>
      </c>
      <c r="S249" s="30">
        <f>COUNTIFS('AT. MEDICAS 2024'!$A$9:$A$874,"17/10/2025",'AT. MEDICAS 2024'!$I$9:$I$874,B249)</f>
        <v>0</v>
      </c>
      <c r="T249" s="30">
        <f>COUNTIFS('AT. MEDICAS 2024'!$A$9:$A$874,"18/10/2025",'AT. MEDICAS 2024'!$I$9:$I$874,B249)</f>
        <v>0</v>
      </c>
      <c r="U249" s="30">
        <f>COUNTIFS('AT. MEDICAS 2024'!$A$9:$A$874,"19/10/2025",'AT. MEDICAS 2024'!$I$9:$I$874,B249)</f>
        <v>0</v>
      </c>
      <c r="V249" s="30">
        <f>COUNTIFS('AT. MEDICAS 2024'!$A$9:$A$874,"20/10/2025",'AT. MEDICAS 2024'!$I$9:$I$874,B249)</f>
        <v>0</v>
      </c>
      <c r="W249" s="30">
        <f>COUNTIFS('AT. MEDICAS 2024'!$A$9:$A$874,"21/10/2025",'AT. MEDICAS 2024'!$I$9:$I$874,B249)</f>
        <v>0</v>
      </c>
      <c r="X249" s="30">
        <f>COUNTIFS('AT. MEDICAS 2024'!$A$9:$A$874,"22/10/2025",'AT. MEDICAS 2024'!$I$9:$I$874,B249)</f>
        <v>0</v>
      </c>
      <c r="Y249" s="30">
        <f>COUNTIFS('AT. MEDICAS 2024'!$A$9:$A$874,"23/10/2025",'AT. MEDICAS 2024'!$I$9:$I$874,B249)</f>
        <v>0</v>
      </c>
      <c r="Z249" s="30">
        <f>COUNTIFS('AT. MEDICAS 2024'!$A$9:$A$874,"24/10/2025",'AT. MEDICAS 2024'!$I$9:$I$874,B249)</f>
        <v>0</v>
      </c>
      <c r="AA249" s="30">
        <f>COUNTIFS('AT. MEDICAS 2024'!$A$9:$A$874,"25/10/2025",'AT. MEDICAS 2024'!$I$9:$I$874,B249)</f>
        <v>0</v>
      </c>
      <c r="AB249" s="30">
        <f>COUNTIFS('AT. MEDICAS 2024'!$A$9:$A$874,"26/10/2025",'AT. MEDICAS 2024'!$I$9:$I$874,B249)</f>
        <v>0</v>
      </c>
      <c r="AC249" s="30">
        <f>COUNTIFS('AT. MEDICAS 2024'!$A$9:$A$874,"27/10/2025",'AT. MEDICAS 2024'!$I$9:$I$874,B249)</f>
        <v>0</v>
      </c>
      <c r="AD249" s="30">
        <f>COUNTIFS('AT. MEDICAS 2024'!$A$9:$A$874,"28/10/2025",'AT. MEDICAS 2024'!$I$9:$I$874,B249)</f>
        <v>0</v>
      </c>
      <c r="AE249" s="30">
        <f>COUNTIFS('AT. MEDICAS 2024'!$A$9:$A$874,"29/10/2025",'AT. MEDICAS 2024'!$I$9:$I$874,B249)</f>
        <v>0</v>
      </c>
      <c r="AF249" s="30">
        <f>COUNTIFS('AT. MEDICAS 2024'!$A$9:$A$874,"30/10/2025",'AT. MEDICAS 2024'!$I$9:$I$874,B249)</f>
        <v>0</v>
      </c>
      <c r="AG249" s="30">
        <f>COUNTIFS('AT. MEDICAS 2024'!$A$9:$A$874,"31/10/2025",'AT. MEDICAS 2024'!$I$9:$I$874,B249)</f>
        <v>0</v>
      </c>
      <c r="AH249" s="55">
        <f t="shared" si="29"/>
        <v>0</v>
      </c>
    </row>
    <row r="250" spans="1:34" ht="13.8" thickBot="1" x14ac:dyDescent="0.3">
      <c r="A250" s="41">
        <v>15</v>
      </c>
      <c r="B250" s="54" t="s">
        <v>189</v>
      </c>
      <c r="C250" s="30">
        <f>COUNTIFS('AT. MEDICAS 2024'!$A$9:$A$874,"01/10/2025",'AT. MEDICAS 2024'!$I$9:$I$874,B250)</f>
        <v>0</v>
      </c>
      <c r="D250" s="30">
        <f>COUNTIFS('AT. MEDICAS 2024'!$A$9:$A$874,"02/10/2025",'AT. MEDICAS 2024'!$I$9:$I$874,B250)</f>
        <v>0</v>
      </c>
      <c r="E250" s="30">
        <f>COUNTIFS('AT. MEDICAS 2024'!$A$9:$A$874,"03/10/2025",'AT. MEDICAS 2024'!$I$9:$I$874,B250)</f>
        <v>0</v>
      </c>
      <c r="F250" s="30">
        <f>COUNTIFS('AT. MEDICAS 2024'!$A$9:$A$874,"04/10/2025",'AT. MEDICAS 2024'!$I$9:$I$874,B250)</f>
        <v>0</v>
      </c>
      <c r="G250" s="30">
        <f>COUNTIFS('AT. MEDICAS 2024'!$A$9:$A$874,"05/10/2025",'AT. MEDICAS 2024'!$I$9:$I$874,B250)</f>
        <v>0</v>
      </c>
      <c r="H250" s="30">
        <f>COUNTIFS('AT. MEDICAS 2024'!$A$9:$A$874,"06/10/2025",'AT. MEDICAS 2024'!$I$9:$I$874,B250)</f>
        <v>0</v>
      </c>
      <c r="I250" s="30">
        <f>COUNTIFS('AT. MEDICAS 2024'!$A$9:$A$874,"07/10/2025",'AT. MEDICAS 2024'!$I$9:$I$874,B250)</f>
        <v>0</v>
      </c>
      <c r="J250" s="30">
        <f>COUNTIFS('AT. MEDICAS 2024'!$A$9:$A$874,"08/10/2025",'AT. MEDICAS 2024'!$I$9:$I$874,B250)</f>
        <v>0</v>
      </c>
      <c r="K250" s="30">
        <f>COUNTIFS('AT. MEDICAS 2024'!$A$9:$A$874,"09/10/2025",'AT. MEDICAS 2024'!$I$9:$I$874,B250)</f>
        <v>0</v>
      </c>
      <c r="L250" s="30">
        <f>COUNTIFS('AT. MEDICAS 2024'!$A$9:$A$874,"10/10/2025",'AT. MEDICAS 2024'!$I$9:$I$874,B250)</f>
        <v>0</v>
      </c>
      <c r="M250" s="30">
        <f>COUNTIFS('AT. MEDICAS 2024'!$A$9:$A$874,"11/10/2025",'AT. MEDICAS 2024'!$I$9:$I$874,B250)</f>
        <v>0</v>
      </c>
      <c r="N250" s="30">
        <f>COUNTIFS('AT. MEDICAS 2024'!$A$9:$A$874,"12/10/2025",'AT. MEDICAS 2024'!$I$9:$I$874,B250)</f>
        <v>0</v>
      </c>
      <c r="O250" s="30">
        <f>COUNTIFS('AT. MEDICAS 2024'!$A$9:$A$874,"13/10/2025",'AT. MEDICAS 2024'!$I$9:$I$874,B250)</f>
        <v>0</v>
      </c>
      <c r="P250" s="30">
        <f>COUNTIFS('AT. MEDICAS 2024'!$A$9:$A$874,"14/10/2025",'AT. MEDICAS 2024'!$I$9:$I$874,B250)</f>
        <v>0</v>
      </c>
      <c r="Q250" s="30">
        <f>COUNTIFS('AT. MEDICAS 2024'!$A$9:$A$874,"15/10/2025",'AT. MEDICAS 2024'!$I$9:$I$874,B250)</f>
        <v>0</v>
      </c>
      <c r="R250" s="30">
        <f>COUNTIFS('AT. MEDICAS 2024'!$A$9:$A$874,"16/10/2025",'AT. MEDICAS 2024'!$I$9:$I$874,B250)</f>
        <v>0</v>
      </c>
      <c r="S250" s="30">
        <f>COUNTIFS('AT. MEDICAS 2024'!$A$9:$A$874,"17/10/2025",'AT. MEDICAS 2024'!$I$9:$I$874,B250)</f>
        <v>0</v>
      </c>
      <c r="T250" s="30">
        <f>COUNTIFS('AT. MEDICAS 2024'!$A$9:$A$874,"18/10/2025",'AT. MEDICAS 2024'!$I$9:$I$874,B250)</f>
        <v>0</v>
      </c>
      <c r="U250" s="30">
        <f>COUNTIFS('AT. MEDICAS 2024'!$A$9:$A$874,"19/10/2025",'AT. MEDICAS 2024'!$I$9:$I$874,B250)</f>
        <v>0</v>
      </c>
      <c r="V250" s="30">
        <f>COUNTIFS('AT. MEDICAS 2024'!$A$9:$A$874,"20/10/2025",'AT. MEDICAS 2024'!$I$9:$I$874,B250)</f>
        <v>0</v>
      </c>
      <c r="W250" s="30">
        <f>COUNTIFS('AT. MEDICAS 2024'!$A$9:$A$874,"21/10/2025",'AT. MEDICAS 2024'!$I$9:$I$874,B250)</f>
        <v>0</v>
      </c>
      <c r="X250" s="30">
        <f>COUNTIFS('AT. MEDICAS 2024'!$A$9:$A$874,"22/10/2025",'AT. MEDICAS 2024'!$I$9:$I$874,B250)</f>
        <v>0</v>
      </c>
      <c r="Y250" s="30">
        <f>COUNTIFS('AT. MEDICAS 2024'!$A$9:$A$874,"23/10/2025",'AT. MEDICAS 2024'!$I$9:$I$874,B250)</f>
        <v>0</v>
      </c>
      <c r="Z250" s="30">
        <f>COUNTIFS('AT. MEDICAS 2024'!$A$9:$A$874,"24/10/2025",'AT. MEDICAS 2024'!$I$9:$I$874,B250)</f>
        <v>0</v>
      </c>
      <c r="AA250" s="30">
        <f>COUNTIFS('AT. MEDICAS 2024'!$A$9:$A$874,"25/10/2025",'AT. MEDICAS 2024'!$I$9:$I$874,B250)</f>
        <v>0</v>
      </c>
      <c r="AB250" s="30">
        <f>COUNTIFS('AT. MEDICAS 2024'!$A$9:$A$874,"26/10/2025",'AT. MEDICAS 2024'!$I$9:$I$874,B250)</f>
        <v>0</v>
      </c>
      <c r="AC250" s="30">
        <f>COUNTIFS('AT. MEDICAS 2024'!$A$9:$A$874,"27/10/2025",'AT. MEDICAS 2024'!$I$9:$I$874,B250)</f>
        <v>0</v>
      </c>
      <c r="AD250" s="30">
        <f>COUNTIFS('AT. MEDICAS 2024'!$A$9:$A$874,"28/10/2025",'AT. MEDICAS 2024'!$I$9:$I$874,B250)</f>
        <v>0</v>
      </c>
      <c r="AE250" s="30">
        <f>COUNTIFS('AT. MEDICAS 2024'!$A$9:$A$874,"29/10/2025",'AT. MEDICAS 2024'!$I$9:$I$874,B250)</f>
        <v>0</v>
      </c>
      <c r="AF250" s="30">
        <f>COUNTIFS('AT. MEDICAS 2024'!$A$9:$A$874,"30/10/2025",'AT. MEDICAS 2024'!$I$9:$I$874,B250)</f>
        <v>0</v>
      </c>
      <c r="AG250" s="30">
        <f>COUNTIFS('AT. MEDICAS 2024'!$A$9:$A$874,"31/10/2025",'AT. MEDICAS 2024'!$I$9:$I$874,B250)</f>
        <v>0</v>
      </c>
      <c r="AH250" s="55">
        <f t="shared" si="29"/>
        <v>0</v>
      </c>
    </row>
    <row r="251" spans="1:34" ht="13.8" thickBot="1" x14ac:dyDescent="0.3">
      <c r="A251" s="41">
        <v>16</v>
      </c>
      <c r="B251" s="54" t="s">
        <v>14</v>
      </c>
      <c r="C251" s="30">
        <f>COUNTIFS('AT. MEDICAS 2024'!$A$9:$A$874,"01/10/2025",'AT. MEDICAS 2024'!$I$9:$I$874,B251)</f>
        <v>0</v>
      </c>
      <c r="D251" s="30">
        <f>COUNTIFS('AT. MEDICAS 2024'!$A$9:$A$874,"02/10/2025",'AT. MEDICAS 2024'!$I$9:$I$874,B251)</f>
        <v>0</v>
      </c>
      <c r="E251" s="30">
        <f>COUNTIFS('AT. MEDICAS 2024'!$A$9:$A$874,"03/10/2025",'AT. MEDICAS 2024'!$I$9:$I$874,B251)</f>
        <v>0</v>
      </c>
      <c r="F251" s="30">
        <f>COUNTIFS('AT. MEDICAS 2024'!$A$9:$A$874,"04/10/2025",'AT. MEDICAS 2024'!$I$9:$I$874,B251)</f>
        <v>0</v>
      </c>
      <c r="G251" s="30">
        <f>COUNTIFS('AT. MEDICAS 2024'!$A$9:$A$874,"05/10/2025",'AT. MEDICAS 2024'!$I$9:$I$874,B251)</f>
        <v>0</v>
      </c>
      <c r="H251" s="30">
        <f>COUNTIFS('AT. MEDICAS 2024'!$A$9:$A$874,"06/10/2025",'AT. MEDICAS 2024'!$I$9:$I$874,B251)</f>
        <v>0</v>
      </c>
      <c r="I251" s="30">
        <f>COUNTIFS('AT. MEDICAS 2024'!$A$9:$A$874,"07/10/2025",'AT. MEDICAS 2024'!$I$9:$I$874,B251)</f>
        <v>0</v>
      </c>
      <c r="J251" s="30">
        <f>COUNTIFS('AT. MEDICAS 2024'!$A$9:$A$874,"08/10/2025",'AT. MEDICAS 2024'!$I$9:$I$874,B251)</f>
        <v>0</v>
      </c>
      <c r="K251" s="30">
        <f>COUNTIFS('AT. MEDICAS 2024'!$A$9:$A$874,"09/10/2025",'AT. MEDICAS 2024'!$I$9:$I$874,B251)</f>
        <v>0</v>
      </c>
      <c r="L251" s="30">
        <f>COUNTIFS('AT. MEDICAS 2024'!$A$9:$A$874,"10/10/2025",'AT. MEDICAS 2024'!$I$9:$I$874,B251)</f>
        <v>0</v>
      </c>
      <c r="M251" s="30">
        <f>COUNTIFS('AT. MEDICAS 2024'!$A$9:$A$874,"11/10/2025",'AT. MEDICAS 2024'!$I$9:$I$874,B251)</f>
        <v>0</v>
      </c>
      <c r="N251" s="30">
        <f>COUNTIFS('AT. MEDICAS 2024'!$A$9:$A$874,"12/10/2025",'AT. MEDICAS 2024'!$I$9:$I$874,B251)</f>
        <v>0</v>
      </c>
      <c r="O251" s="30">
        <f>COUNTIFS('AT. MEDICAS 2024'!$A$9:$A$874,"13/10/2025",'AT. MEDICAS 2024'!$I$9:$I$874,B251)</f>
        <v>0</v>
      </c>
      <c r="P251" s="30">
        <f>COUNTIFS('AT. MEDICAS 2024'!$A$9:$A$874,"14/10/2025",'AT. MEDICAS 2024'!$I$9:$I$874,B251)</f>
        <v>0</v>
      </c>
      <c r="Q251" s="30">
        <f>COUNTIFS('AT. MEDICAS 2024'!$A$9:$A$874,"15/10/2025",'AT. MEDICAS 2024'!$I$9:$I$874,B251)</f>
        <v>0</v>
      </c>
      <c r="R251" s="30">
        <f>COUNTIFS('AT. MEDICAS 2024'!$A$9:$A$874,"16/10/2025",'AT. MEDICAS 2024'!$I$9:$I$874,B251)</f>
        <v>0</v>
      </c>
      <c r="S251" s="30">
        <f>COUNTIFS('AT. MEDICAS 2024'!$A$9:$A$874,"17/10/2025",'AT. MEDICAS 2024'!$I$9:$I$874,B251)</f>
        <v>0</v>
      </c>
      <c r="T251" s="30">
        <f>COUNTIFS('AT. MEDICAS 2024'!$A$9:$A$874,"18/10/2025",'AT. MEDICAS 2024'!$I$9:$I$874,B251)</f>
        <v>0</v>
      </c>
      <c r="U251" s="30">
        <f>COUNTIFS('AT. MEDICAS 2024'!$A$9:$A$874,"19/10/2025",'AT. MEDICAS 2024'!$I$9:$I$874,B251)</f>
        <v>0</v>
      </c>
      <c r="V251" s="30">
        <f>COUNTIFS('AT. MEDICAS 2024'!$A$9:$A$874,"20/10/2025",'AT. MEDICAS 2024'!$I$9:$I$874,B251)</f>
        <v>0</v>
      </c>
      <c r="W251" s="30">
        <f>COUNTIFS('AT. MEDICAS 2024'!$A$9:$A$874,"21/10/2025",'AT. MEDICAS 2024'!$I$9:$I$874,B251)</f>
        <v>0</v>
      </c>
      <c r="X251" s="30">
        <f>COUNTIFS('AT. MEDICAS 2024'!$A$9:$A$874,"22/10/2025",'AT. MEDICAS 2024'!$I$9:$I$874,B251)</f>
        <v>0</v>
      </c>
      <c r="Y251" s="30">
        <f>COUNTIFS('AT. MEDICAS 2024'!$A$9:$A$874,"23/10/2025",'AT. MEDICAS 2024'!$I$9:$I$874,B251)</f>
        <v>0</v>
      </c>
      <c r="Z251" s="30">
        <f>COUNTIFS('AT. MEDICAS 2024'!$A$9:$A$874,"24/10/2025",'AT. MEDICAS 2024'!$I$9:$I$874,B251)</f>
        <v>0</v>
      </c>
      <c r="AA251" s="30">
        <f>COUNTIFS('AT. MEDICAS 2024'!$A$9:$A$874,"25/10/2025",'AT. MEDICAS 2024'!$I$9:$I$874,B251)</f>
        <v>0</v>
      </c>
      <c r="AB251" s="30">
        <f>COUNTIFS('AT. MEDICAS 2024'!$A$9:$A$874,"26/10/2025",'AT. MEDICAS 2024'!$I$9:$I$874,B251)</f>
        <v>0</v>
      </c>
      <c r="AC251" s="30">
        <f>COUNTIFS('AT. MEDICAS 2024'!$A$9:$A$874,"27/10/2025",'AT. MEDICAS 2024'!$I$9:$I$874,B251)</f>
        <v>0</v>
      </c>
      <c r="AD251" s="30">
        <f>COUNTIFS('AT. MEDICAS 2024'!$A$9:$A$874,"28/10/2025",'AT. MEDICAS 2024'!$I$9:$I$874,B251)</f>
        <v>0</v>
      </c>
      <c r="AE251" s="30">
        <f>COUNTIFS('AT. MEDICAS 2024'!$A$9:$A$874,"29/10/2025",'AT. MEDICAS 2024'!$I$9:$I$874,B251)</f>
        <v>0</v>
      </c>
      <c r="AF251" s="30">
        <f>COUNTIFS('AT. MEDICAS 2024'!$A$9:$A$874,"30/10/2025",'AT. MEDICAS 2024'!$I$9:$I$874,B251)</f>
        <v>0</v>
      </c>
      <c r="AG251" s="30">
        <f>COUNTIFS('AT. MEDICAS 2024'!$A$9:$A$874,"31/10/2025",'AT. MEDICAS 2024'!$I$9:$I$874,B251)</f>
        <v>0</v>
      </c>
      <c r="AH251" s="55">
        <f t="shared" si="29"/>
        <v>0</v>
      </c>
    </row>
    <row r="252" spans="1:34" ht="13.8" thickBot="1" x14ac:dyDescent="0.3">
      <c r="A252" s="41">
        <v>17</v>
      </c>
      <c r="B252" s="54" t="s">
        <v>72</v>
      </c>
      <c r="C252" s="30">
        <f>COUNTIFS('AT. MEDICAS 2024'!$A$9:$A$874,"01/10/2025",'AT. MEDICAS 2024'!$I$9:$I$874,B252)</f>
        <v>0</v>
      </c>
      <c r="D252" s="30">
        <f>COUNTIFS('AT. MEDICAS 2024'!$A$9:$A$874,"02/10/2025",'AT. MEDICAS 2024'!$I$9:$I$874,B252)</f>
        <v>0</v>
      </c>
      <c r="E252" s="30">
        <f>COUNTIFS('AT. MEDICAS 2024'!$A$9:$A$874,"03/10/2025",'AT. MEDICAS 2024'!$I$9:$I$874,B252)</f>
        <v>0</v>
      </c>
      <c r="F252" s="30">
        <f>COUNTIFS('AT. MEDICAS 2024'!$A$9:$A$874,"04/10/2025",'AT. MEDICAS 2024'!$I$9:$I$874,B252)</f>
        <v>0</v>
      </c>
      <c r="G252" s="30">
        <f>COUNTIFS('AT. MEDICAS 2024'!$A$9:$A$874,"05/10/2025",'AT. MEDICAS 2024'!$I$9:$I$874,B252)</f>
        <v>0</v>
      </c>
      <c r="H252" s="30">
        <f>COUNTIFS('AT. MEDICAS 2024'!$A$9:$A$874,"06/10/2025",'AT. MEDICAS 2024'!$I$9:$I$874,B252)</f>
        <v>0</v>
      </c>
      <c r="I252" s="30">
        <f>COUNTIFS('AT. MEDICAS 2024'!$A$9:$A$874,"07/10/2025",'AT. MEDICAS 2024'!$I$9:$I$874,B252)</f>
        <v>0</v>
      </c>
      <c r="J252" s="30">
        <f>COUNTIFS('AT. MEDICAS 2024'!$A$9:$A$874,"08/10/2025",'AT. MEDICAS 2024'!$I$9:$I$874,B252)</f>
        <v>0</v>
      </c>
      <c r="K252" s="30">
        <f>COUNTIFS('AT. MEDICAS 2024'!$A$9:$A$874,"09/10/2025",'AT. MEDICAS 2024'!$I$9:$I$874,B252)</f>
        <v>0</v>
      </c>
      <c r="L252" s="30">
        <f>COUNTIFS('AT. MEDICAS 2024'!$A$9:$A$874,"10/10/2025",'AT. MEDICAS 2024'!$I$9:$I$874,B252)</f>
        <v>0</v>
      </c>
      <c r="M252" s="30">
        <f>COUNTIFS('AT. MEDICAS 2024'!$A$9:$A$874,"11/10/2025",'AT. MEDICAS 2024'!$I$9:$I$874,B252)</f>
        <v>0</v>
      </c>
      <c r="N252" s="30">
        <f>COUNTIFS('AT. MEDICAS 2024'!$A$9:$A$874,"12/10/2025",'AT. MEDICAS 2024'!$I$9:$I$874,B252)</f>
        <v>0</v>
      </c>
      <c r="O252" s="30">
        <f>COUNTIFS('AT. MEDICAS 2024'!$A$9:$A$874,"13/10/2025",'AT. MEDICAS 2024'!$I$9:$I$874,B252)</f>
        <v>0</v>
      </c>
      <c r="P252" s="30">
        <f>COUNTIFS('AT. MEDICAS 2024'!$A$9:$A$874,"14/10/2025",'AT. MEDICAS 2024'!$I$9:$I$874,B252)</f>
        <v>0</v>
      </c>
      <c r="Q252" s="30">
        <f>COUNTIFS('AT. MEDICAS 2024'!$A$9:$A$874,"15/10/2025",'AT. MEDICAS 2024'!$I$9:$I$874,B252)</f>
        <v>0</v>
      </c>
      <c r="R252" s="30">
        <f>COUNTIFS('AT. MEDICAS 2024'!$A$9:$A$874,"16/10/2025",'AT. MEDICAS 2024'!$I$9:$I$874,B252)</f>
        <v>0</v>
      </c>
      <c r="S252" s="30">
        <f>COUNTIFS('AT. MEDICAS 2024'!$A$9:$A$874,"17/10/2025",'AT. MEDICAS 2024'!$I$9:$I$874,B252)</f>
        <v>0</v>
      </c>
      <c r="T252" s="30">
        <f>COUNTIFS('AT. MEDICAS 2024'!$A$9:$A$874,"18/10/2025",'AT. MEDICAS 2024'!$I$9:$I$874,B252)</f>
        <v>0</v>
      </c>
      <c r="U252" s="30">
        <f>COUNTIFS('AT. MEDICAS 2024'!$A$9:$A$874,"19/10/2025",'AT. MEDICAS 2024'!$I$9:$I$874,B252)</f>
        <v>0</v>
      </c>
      <c r="V252" s="30">
        <f>COUNTIFS('AT. MEDICAS 2024'!$A$9:$A$874,"20/10/2025",'AT. MEDICAS 2024'!$I$9:$I$874,B252)</f>
        <v>0</v>
      </c>
      <c r="W252" s="30">
        <f>COUNTIFS('AT. MEDICAS 2024'!$A$9:$A$874,"21/10/2025",'AT. MEDICAS 2024'!$I$9:$I$874,B252)</f>
        <v>0</v>
      </c>
      <c r="X252" s="30">
        <f>COUNTIFS('AT. MEDICAS 2024'!$A$9:$A$874,"22/10/2025",'AT. MEDICAS 2024'!$I$9:$I$874,B252)</f>
        <v>0</v>
      </c>
      <c r="Y252" s="30">
        <f>COUNTIFS('AT. MEDICAS 2024'!$A$9:$A$874,"23/10/2025",'AT. MEDICAS 2024'!$I$9:$I$874,B252)</f>
        <v>0</v>
      </c>
      <c r="Z252" s="30">
        <f>COUNTIFS('AT. MEDICAS 2024'!$A$9:$A$874,"24/10/2025",'AT. MEDICAS 2024'!$I$9:$I$874,B252)</f>
        <v>0</v>
      </c>
      <c r="AA252" s="30">
        <f>COUNTIFS('AT. MEDICAS 2024'!$A$9:$A$874,"25/10/2025",'AT. MEDICAS 2024'!$I$9:$I$874,B252)</f>
        <v>0</v>
      </c>
      <c r="AB252" s="30">
        <f>COUNTIFS('AT. MEDICAS 2024'!$A$9:$A$874,"26/10/2025",'AT. MEDICAS 2024'!$I$9:$I$874,B252)</f>
        <v>0</v>
      </c>
      <c r="AC252" s="30">
        <f>COUNTIFS('AT. MEDICAS 2024'!$A$9:$A$874,"27/10/2025",'AT. MEDICAS 2024'!$I$9:$I$874,B252)</f>
        <v>0</v>
      </c>
      <c r="AD252" s="30">
        <f>COUNTIFS('AT. MEDICAS 2024'!$A$9:$A$874,"28/10/2025",'AT. MEDICAS 2024'!$I$9:$I$874,B252)</f>
        <v>0</v>
      </c>
      <c r="AE252" s="30">
        <f>COUNTIFS('AT. MEDICAS 2024'!$A$9:$A$874,"29/10/2025",'AT. MEDICAS 2024'!$I$9:$I$874,B252)</f>
        <v>0</v>
      </c>
      <c r="AF252" s="30">
        <f>COUNTIFS('AT. MEDICAS 2024'!$A$9:$A$874,"30/10/2025",'AT. MEDICAS 2024'!$I$9:$I$874,B252)</f>
        <v>0</v>
      </c>
      <c r="AG252" s="30">
        <f>COUNTIFS('AT. MEDICAS 2024'!$A$9:$A$874,"31/10/2025",'AT. MEDICAS 2024'!$I$9:$I$874,B252)</f>
        <v>0</v>
      </c>
      <c r="AH252" s="55">
        <f t="shared" si="29"/>
        <v>0</v>
      </c>
    </row>
    <row r="253" spans="1:34" ht="13.8" thickBot="1" x14ac:dyDescent="0.3">
      <c r="A253" s="41">
        <v>18</v>
      </c>
      <c r="B253" s="54" t="s">
        <v>190</v>
      </c>
      <c r="C253" s="30">
        <f>COUNTIFS('AT. MEDICAS 2024'!$A$9:$A$874,"01/10/2025",'AT. MEDICAS 2024'!$I$9:$I$874,B253)</f>
        <v>0</v>
      </c>
      <c r="D253" s="30">
        <f>COUNTIFS('AT. MEDICAS 2024'!$A$9:$A$874,"02/10/2025",'AT. MEDICAS 2024'!$I$9:$I$874,B253)</f>
        <v>0</v>
      </c>
      <c r="E253" s="30">
        <f>COUNTIFS('AT. MEDICAS 2024'!$A$9:$A$874,"03/10/2025",'AT. MEDICAS 2024'!$I$9:$I$874,B253)</f>
        <v>0</v>
      </c>
      <c r="F253" s="30">
        <f>COUNTIFS('AT. MEDICAS 2024'!$A$9:$A$874,"04/10/2025",'AT. MEDICAS 2024'!$I$9:$I$874,B253)</f>
        <v>0</v>
      </c>
      <c r="G253" s="30">
        <f>COUNTIFS('AT. MEDICAS 2024'!$A$9:$A$874,"05/10/2025",'AT. MEDICAS 2024'!$I$9:$I$874,B253)</f>
        <v>0</v>
      </c>
      <c r="H253" s="30">
        <f>COUNTIFS('AT. MEDICAS 2024'!$A$9:$A$874,"06/10/2025",'AT. MEDICAS 2024'!$I$9:$I$874,B253)</f>
        <v>0</v>
      </c>
      <c r="I253" s="30">
        <f>COUNTIFS('AT. MEDICAS 2024'!$A$9:$A$874,"07/10/2025",'AT. MEDICAS 2024'!$I$9:$I$874,B253)</f>
        <v>0</v>
      </c>
      <c r="J253" s="30">
        <f>COUNTIFS('AT. MEDICAS 2024'!$A$9:$A$874,"08/10/2025",'AT. MEDICAS 2024'!$I$9:$I$874,B253)</f>
        <v>0</v>
      </c>
      <c r="K253" s="30">
        <f>COUNTIFS('AT. MEDICAS 2024'!$A$9:$A$874,"09/10/2025",'AT. MEDICAS 2024'!$I$9:$I$874,B253)</f>
        <v>0</v>
      </c>
      <c r="L253" s="30">
        <f>COUNTIFS('AT. MEDICAS 2024'!$A$9:$A$874,"10/10/2025",'AT. MEDICAS 2024'!$I$9:$I$874,B253)</f>
        <v>0</v>
      </c>
      <c r="M253" s="30">
        <f>COUNTIFS('AT. MEDICAS 2024'!$A$9:$A$874,"11/10/2025",'AT. MEDICAS 2024'!$I$9:$I$874,B253)</f>
        <v>0</v>
      </c>
      <c r="N253" s="30">
        <f>COUNTIFS('AT. MEDICAS 2024'!$A$9:$A$874,"12/10/2025",'AT. MEDICAS 2024'!$I$9:$I$874,B253)</f>
        <v>0</v>
      </c>
      <c r="O253" s="30">
        <f>COUNTIFS('AT. MEDICAS 2024'!$A$9:$A$874,"13/10/2025",'AT. MEDICAS 2024'!$I$9:$I$874,B253)</f>
        <v>0</v>
      </c>
      <c r="P253" s="30">
        <f>COUNTIFS('AT. MEDICAS 2024'!$A$9:$A$874,"14/10/2025",'AT. MEDICAS 2024'!$I$9:$I$874,B253)</f>
        <v>0</v>
      </c>
      <c r="Q253" s="30">
        <f>COUNTIFS('AT. MEDICAS 2024'!$A$9:$A$874,"15/10/2025",'AT. MEDICAS 2024'!$I$9:$I$874,B253)</f>
        <v>0</v>
      </c>
      <c r="R253" s="30">
        <f>COUNTIFS('AT. MEDICAS 2024'!$A$9:$A$874,"16/10/2025",'AT. MEDICAS 2024'!$I$9:$I$874,B253)</f>
        <v>0</v>
      </c>
      <c r="S253" s="30">
        <f>COUNTIFS('AT. MEDICAS 2024'!$A$9:$A$874,"17/10/2025",'AT. MEDICAS 2024'!$I$9:$I$874,B253)</f>
        <v>0</v>
      </c>
      <c r="T253" s="30">
        <f>COUNTIFS('AT. MEDICAS 2024'!$A$9:$A$874,"18/10/2025",'AT. MEDICAS 2024'!$I$9:$I$874,B253)</f>
        <v>0</v>
      </c>
      <c r="U253" s="30">
        <f>COUNTIFS('AT. MEDICAS 2024'!$A$9:$A$874,"19/10/2025",'AT. MEDICAS 2024'!$I$9:$I$874,B253)</f>
        <v>0</v>
      </c>
      <c r="V253" s="30">
        <f>COUNTIFS('AT. MEDICAS 2024'!$A$9:$A$874,"20/10/2025",'AT. MEDICAS 2024'!$I$9:$I$874,B253)</f>
        <v>0</v>
      </c>
      <c r="W253" s="30">
        <f>COUNTIFS('AT. MEDICAS 2024'!$A$9:$A$874,"21/10/2025",'AT. MEDICAS 2024'!$I$9:$I$874,B253)</f>
        <v>0</v>
      </c>
      <c r="X253" s="30">
        <f>COUNTIFS('AT. MEDICAS 2024'!$A$9:$A$874,"22/10/2025",'AT. MEDICAS 2024'!$I$9:$I$874,B253)</f>
        <v>0</v>
      </c>
      <c r="Y253" s="30">
        <f>COUNTIFS('AT. MEDICAS 2024'!$A$9:$A$874,"23/10/2025",'AT. MEDICAS 2024'!$I$9:$I$874,B253)</f>
        <v>0</v>
      </c>
      <c r="Z253" s="30">
        <f>COUNTIFS('AT. MEDICAS 2024'!$A$9:$A$874,"24/10/2025",'AT. MEDICAS 2024'!$I$9:$I$874,B253)</f>
        <v>0</v>
      </c>
      <c r="AA253" s="30">
        <f>COUNTIFS('AT. MEDICAS 2024'!$A$9:$A$874,"25/10/2025",'AT. MEDICAS 2024'!$I$9:$I$874,B253)</f>
        <v>0</v>
      </c>
      <c r="AB253" s="30">
        <f>COUNTIFS('AT. MEDICAS 2024'!$A$9:$A$874,"26/10/2025",'AT. MEDICAS 2024'!$I$9:$I$874,B253)</f>
        <v>0</v>
      </c>
      <c r="AC253" s="30">
        <f>COUNTIFS('AT. MEDICAS 2024'!$A$9:$A$874,"27/10/2025",'AT. MEDICAS 2024'!$I$9:$I$874,B253)</f>
        <v>0</v>
      </c>
      <c r="AD253" s="30">
        <f>COUNTIFS('AT. MEDICAS 2024'!$A$9:$A$874,"28/10/2025",'AT. MEDICAS 2024'!$I$9:$I$874,B253)</f>
        <v>0</v>
      </c>
      <c r="AE253" s="30">
        <f>COUNTIFS('AT. MEDICAS 2024'!$A$9:$A$874,"29/10/2025",'AT. MEDICAS 2024'!$I$9:$I$874,B253)</f>
        <v>0</v>
      </c>
      <c r="AF253" s="30">
        <f>COUNTIFS('AT. MEDICAS 2024'!$A$9:$A$874,"30/10/2025",'AT. MEDICAS 2024'!$I$9:$I$874,B253)</f>
        <v>0</v>
      </c>
      <c r="AG253" s="30">
        <f>COUNTIFS('AT. MEDICAS 2024'!$A$9:$A$874,"31/10/2025",'AT. MEDICAS 2024'!$I$9:$I$874,B253)</f>
        <v>0</v>
      </c>
      <c r="AH253" s="55">
        <f t="shared" si="29"/>
        <v>0</v>
      </c>
    </row>
    <row r="254" spans="1:34" ht="13.8" thickBot="1" x14ac:dyDescent="0.3">
      <c r="A254" s="41">
        <v>19</v>
      </c>
      <c r="B254" s="54" t="s">
        <v>118</v>
      </c>
      <c r="C254" s="30">
        <f>COUNTIFS('AT. MEDICAS 2024'!$A$9:$A$874,"01/10/2025",'AT. MEDICAS 2024'!$I$9:$I$874,B254)</f>
        <v>0</v>
      </c>
      <c r="D254" s="30">
        <f>COUNTIFS('AT. MEDICAS 2024'!$A$9:$A$874,"02/10/2025",'AT. MEDICAS 2024'!$I$9:$I$874,B254)</f>
        <v>0</v>
      </c>
      <c r="E254" s="30">
        <f>COUNTIFS('AT. MEDICAS 2024'!$A$9:$A$874,"03/10/2025",'AT. MEDICAS 2024'!$I$9:$I$874,B254)</f>
        <v>0</v>
      </c>
      <c r="F254" s="30">
        <f>COUNTIFS('AT. MEDICAS 2024'!$A$9:$A$874,"04/10/2025",'AT. MEDICAS 2024'!$I$9:$I$874,B254)</f>
        <v>0</v>
      </c>
      <c r="G254" s="30">
        <f>COUNTIFS('AT. MEDICAS 2024'!$A$9:$A$874,"05/10/2025",'AT. MEDICAS 2024'!$I$9:$I$874,B254)</f>
        <v>0</v>
      </c>
      <c r="H254" s="30">
        <f>COUNTIFS('AT. MEDICAS 2024'!$A$9:$A$874,"06/10/2025",'AT. MEDICAS 2024'!$I$9:$I$874,B254)</f>
        <v>0</v>
      </c>
      <c r="I254" s="30">
        <f>COUNTIFS('AT. MEDICAS 2024'!$A$9:$A$874,"07/10/2025",'AT. MEDICAS 2024'!$I$9:$I$874,B254)</f>
        <v>0</v>
      </c>
      <c r="J254" s="30">
        <f>COUNTIFS('AT. MEDICAS 2024'!$A$9:$A$874,"08/10/2025",'AT. MEDICAS 2024'!$I$9:$I$874,B254)</f>
        <v>0</v>
      </c>
      <c r="K254" s="30">
        <f>COUNTIFS('AT. MEDICAS 2024'!$A$9:$A$874,"09/10/2025",'AT. MEDICAS 2024'!$I$9:$I$874,B254)</f>
        <v>0</v>
      </c>
      <c r="L254" s="30">
        <f>COUNTIFS('AT. MEDICAS 2024'!$A$9:$A$874,"10/10/2025",'AT. MEDICAS 2024'!$I$9:$I$874,B254)</f>
        <v>0</v>
      </c>
      <c r="M254" s="30">
        <f>COUNTIFS('AT. MEDICAS 2024'!$A$9:$A$874,"11/10/2025",'AT. MEDICAS 2024'!$I$9:$I$874,B254)</f>
        <v>0</v>
      </c>
      <c r="N254" s="30">
        <f>COUNTIFS('AT. MEDICAS 2024'!$A$9:$A$874,"12/10/2025",'AT. MEDICAS 2024'!$I$9:$I$874,B254)</f>
        <v>0</v>
      </c>
      <c r="O254" s="30">
        <f>COUNTIFS('AT. MEDICAS 2024'!$A$9:$A$874,"13/10/2025",'AT. MEDICAS 2024'!$I$9:$I$874,B254)</f>
        <v>0</v>
      </c>
      <c r="P254" s="30">
        <f>COUNTIFS('AT. MEDICAS 2024'!$A$9:$A$874,"14/10/2025",'AT. MEDICAS 2024'!$I$9:$I$874,B254)</f>
        <v>0</v>
      </c>
      <c r="Q254" s="30">
        <f>COUNTIFS('AT. MEDICAS 2024'!$A$9:$A$874,"15/10/2025",'AT. MEDICAS 2024'!$I$9:$I$874,B254)</f>
        <v>0</v>
      </c>
      <c r="R254" s="30">
        <f>COUNTIFS('AT. MEDICAS 2024'!$A$9:$A$874,"16/10/2025",'AT. MEDICAS 2024'!$I$9:$I$874,B254)</f>
        <v>0</v>
      </c>
      <c r="S254" s="30">
        <f>COUNTIFS('AT. MEDICAS 2024'!$A$9:$A$874,"17/10/2025",'AT. MEDICAS 2024'!$I$9:$I$874,B254)</f>
        <v>0</v>
      </c>
      <c r="T254" s="30">
        <f>COUNTIFS('AT. MEDICAS 2024'!$A$9:$A$874,"18/10/2025",'AT. MEDICAS 2024'!$I$9:$I$874,B254)</f>
        <v>0</v>
      </c>
      <c r="U254" s="30">
        <f>COUNTIFS('AT. MEDICAS 2024'!$A$9:$A$874,"19/10/2025",'AT. MEDICAS 2024'!$I$9:$I$874,B254)</f>
        <v>0</v>
      </c>
      <c r="V254" s="30">
        <f>COUNTIFS('AT. MEDICAS 2024'!$A$9:$A$874,"20/10/2025",'AT. MEDICAS 2024'!$I$9:$I$874,B254)</f>
        <v>0</v>
      </c>
      <c r="W254" s="30">
        <f>COUNTIFS('AT. MEDICAS 2024'!$A$9:$A$874,"21/10/2025",'AT. MEDICAS 2024'!$I$9:$I$874,B254)</f>
        <v>0</v>
      </c>
      <c r="X254" s="30">
        <f>COUNTIFS('AT. MEDICAS 2024'!$A$9:$A$874,"22/10/2025",'AT. MEDICAS 2024'!$I$9:$I$874,B254)</f>
        <v>0</v>
      </c>
      <c r="Y254" s="30">
        <f>COUNTIFS('AT. MEDICAS 2024'!$A$9:$A$874,"23/10/2025",'AT. MEDICAS 2024'!$I$9:$I$874,B254)</f>
        <v>0</v>
      </c>
      <c r="Z254" s="30">
        <f>COUNTIFS('AT. MEDICAS 2024'!$A$9:$A$874,"24/10/2025",'AT. MEDICAS 2024'!$I$9:$I$874,B254)</f>
        <v>0</v>
      </c>
      <c r="AA254" s="30">
        <f>COUNTIFS('AT. MEDICAS 2024'!$A$9:$A$874,"25/10/2025",'AT. MEDICAS 2024'!$I$9:$I$874,B254)</f>
        <v>0</v>
      </c>
      <c r="AB254" s="30">
        <f>COUNTIFS('AT. MEDICAS 2024'!$A$9:$A$874,"26/10/2025",'AT. MEDICAS 2024'!$I$9:$I$874,B254)</f>
        <v>0</v>
      </c>
      <c r="AC254" s="30">
        <f>COUNTIFS('AT. MEDICAS 2024'!$A$9:$A$874,"27/10/2025",'AT. MEDICAS 2024'!$I$9:$I$874,B254)</f>
        <v>0</v>
      </c>
      <c r="AD254" s="30">
        <f>COUNTIFS('AT. MEDICAS 2024'!$A$9:$A$874,"28/10/2025",'AT. MEDICAS 2024'!$I$9:$I$874,B254)</f>
        <v>0</v>
      </c>
      <c r="AE254" s="30">
        <f>COUNTIFS('AT. MEDICAS 2024'!$A$9:$A$874,"29/10/2025",'AT. MEDICAS 2024'!$I$9:$I$874,B254)</f>
        <v>0</v>
      </c>
      <c r="AF254" s="30">
        <f>COUNTIFS('AT. MEDICAS 2024'!$A$9:$A$874,"30/10/2025",'AT. MEDICAS 2024'!$I$9:$I$874,B254)</f>
        <v>0</v>
      </c>
      <c r="AG254" s="30">
        <f>COUNTIFS('AT. MEDICAS 2024'!$A$9:$A$874,"31/10/2025",'AT. MEDICAS 2024'!$I$9:$I$874,B254)</f>
        <v>0</v>
      </c>
      <c r="AH254" s="55">
        <f t="shared" si="29"/>
        <v>0</v>
      </c>
    </row>
    <row r="255" spans="1:34" ht="13.8" thickBot="1" x14ac:dyDescent="0.3">
      <c r="A255" s="41">
        <v>20</v>
      </c>
      <c r="B255" s="54" t="s">
        <v>31</v>
      </c>
      <c r="C255" s="30">
        <f>COUNTIFS('AT. MEDICAS 2024'!$A$9:$A$874,"01/10/2025",'AT. MEDICAS 2024'!$I$9:$I$874,B255)</f>
        <v>0</v>
      </c>
      <c r="D255" s="30">
        <f>COUNTIFS('AT. MEDICAS 2024'!$A$9:$A$874,"02/10/2025",'AT. MEDICAS 2024'!$I$9:$I$874,B255)</f>
        <v>0</v>
      </c>
      <c r="E255" s="30">
        <f>COUNTIFS('AT. MEDICAS 2024'!$A$9:$A$874,"03/10/2025",'AT. MEDICAS 2024'!$I$9:$I$874,B255)</f>
        <v>0</v>
      </c>
      <c r="F255" s="30">
        <f>COUNTIFS('AT. MEDICAS 2024'!$A$9:$A$874,"04/10/2025",'AT. MEDICAS 2024'!$I$9:$I$874,B255)</f>
        <v>0</v>
      </c>
      <c r="G255" s="30">
        <f>COUNTIFS('AT. MEDICAS 2024'!$A$9:$A$874,"05/10/2025",'AT. MEDICAS 2024'!$I$9:$I$874,B255)</f>
        <v>0</v>
      </c>
      <c r="H255" s="30">
        <f>COUNTIFS('AT. MEDICAS 2024'!$A$9:$A$874,"06/10/2025",'AT. MEDICAS 2024'!$I$9:$I$874,B255)</f>
        <v>0</v>
      </c>
      <c r="I255" s="30">
        <f>COUNTIFS('AT. MEDICAS 2024'!$A$9:$A$874,"07/10/2025",'AT. MEDICAS 2024'!$I$9:$I$874,B255)</f>
        <v>0</v>
      </c>
      <c r="J255" s="30">
        <f>COUNTIFS('AT. MEDICAS 2024'!$A$9:$A$874,"08/10/2025",'AT. MEDICAS 2024'!$I$9:$I$874,B255)</f>
        <v>0</v>
      </c>
      <c r="K255" s="30">
        <f>COUNTIFS('AT. MEDICAS 2024'!$A$9:$A$874,"09/10/2025",'AT. MEDICAS 2024'!$I$9:$I$874,B255)</f>
        <v>0</v>
      </c>
      <c r="L255" s="30">
        <f>COUNTIFS('AT. MEDICAS 2024'!$A$9:$A$874,"10/10/2025",'AT. MEDICAS 2024'!$I$9:$I$874,B255)</f>
        <v>0</v>
      </c>
      <c r="M255" s="30">
        <f>COUNTIFS('AT. MEDICAS 2024'!$A$9:$A$874,"11/10/2025",'AT. MEDICAS 2024'!$I$9:$I$874,B255)</f>
        <v>0</v>
      </c>
      <c r="N255" s="30">
        <f>COUNTIFS('AT. MEDICAS 2024'!$A$9:$A$874,"12/10/2025",'AT. MEDICAS 2024'!$I$9:$I$874,B255)</f>
        <v>0</v>
      </c>
      <c r="O255" s="30">
        <f>COUNTIFS('AT. MEDICAS 2024'!$A$9:$A$874,"13/10/2025",'AT. MEDICAS 2024'!$I$9:$I$874,B255)</f>
        <v>0</v>
      </c>
      <c r="P255" s="30">
        <f>COUNTIFS('AT. MEDICAS 2024'!$A$9:$A$874,"14/10/2025",'AT. MEDICAS 2024'!$I$9:$I$874,B255)</f>
        <v>0</v>
      </c>
      <c r="Q255" s="30">
        <f>COUNTIFS('AT. MEDICAS 2024'!$A$9:$A$874,"15/10/2025",'AT. MEDICAS 2024'!$I$9:$I$874,B255)</f>
        <v>0</v>
      </c>
      <c r="R255" s="30">
        <f>COUNTIFS('AT. MEDICAS 2024'!$A$9:$A$874,"16/10/2025",'AT. MEDICAS 2024'!$I$9:$I$874,B255)</f>
        <v>0</v>
      </c>
      <c r="S255" s="30">
        <f>COUNTIFS('AT. MEDICAS 2024'!$A$9:$A$874,"17/10/2025",'AT. MEDICAS 2024'!$I$9:$I$874,B255)</f>
        <v>0</v>
      </c>
      <c r="T255" s="30">
        <f>COUNTIFS('AT. MEDICAS 2024'!$A$9:$A$874,"18/10/2025",'AT. MEDICAS 2024'!$I$9:$I$874,B255)</f>
        <v>0</v>
      </c>
      <c r="U255" s="30">
        <f>COUNTIFS('AT. MEDICAS 2024'!$A$9:$A$874,"19/10/2025",'AT. MEDICAS 2024'!$I$9:$I$874,B255)</f>
        <v>0</v>
      </c>
      <c r="V255" s="30">
        <f>COUNTIFS('AT. MEDICAS 2024'!$A$9:$A$874,"20/10/2025",'AT. MEDICAS 2024'!$I$9:$I$874,B255)</f>
        <v>0</v>
      </c>
      <c r="W255" s="30">
        <f>COUNTIFS('AT. MEDICAS 2024'!$A$9:$A$874,"21/10/2025",'AT. MEDICAS 2024'!$I$9:$I$874,B255)</f>
        <v>0</v>
      </c>
      <c r="X255" s="30">
        <f>COUNTIFS('AT. MEDICAS 2024'!$A$9:$A$874,"22/10/2025",'AT. MEDICAS 2024'!$I$9:$I$874,B255)</f>
        <v>0</v>
      </c>
      <c r="Y255" s="30">
        <f>COUNTIFS('AT. MEDICAS 2024'!$A$9:$A$874,"23/10/2025",'AT. MEDICAS 2024'!$I$9:$I$874,B255)</f>
        <v>0</v>
      </c>
      <c r="Z255" s="30">
        <f>COUNTIFS('AT. MEDICAS 2024'!$A$9:$A$874,"24/10/2025",'AT. MEDICAS 2024'!$I$9:$I$874,B255)</f>
        <v>0</v>
      </c>
      <c r="AA255" s="30">
        <f>COUNTIFS('AT. MEDICAS 2024'!$A$9:$A$874,"25/10/2025",'AT. MEDICAS 2024'!$I$9:$I$874,B255)</f>
        <v>0</v>
      </c>
      <c r="AB255" s="30">
        <f>COUNTIFS('AT. MEDICAS 2024'!$A$9:$A$874,"26/10/2025",'AT. MEDICAS 2024'!$I$9:$I$874,B255)</f>
        <v>0</v>
      </c>
      <c r="AC255" s="30">
        <f>COUNTIFS('AT. MEDICAS 2024'!$A$9:$A$874,"27/10/2025",'AT. MEDICAS 2024'!$I$9:$I$874,B255)</f>
        <v>0</v>
      </c>
      <c r="AD255" s="30">
        <f>COUNTIFS('AT. MEDICAS 2024'!$A$9:$A$874,"28/10/2025",'AT. MEDICAS 2024'!$I$9:$I$874,B255)</f>
        <v>0</v>
      </c>
      <c r="AE255" s="30">
        <f>COUNTIFS('AT. MEDICAS 2024'!$A$9:$A$874,"29/10/2025",'AT. MEDICAS 2024'!$I$9:$I$874,B255)</f>
        <v>0</v>
      </c>
      <c r="AF255" s="30">
        <f>COUNTIFS('AT. MEDICAS 2024'!$A$9:$A$874,"30/10/2025",'AT. MEDICAS 2024'!$I$9:$I$874,B255)</f>
        <v>0</v>
      </c>
      <c r="AG255" s="30">
        <f>COUNTIFS('AT. MEDICAS 2024'!$A$9:$A$874,"31/10/2025",'AT. MEDICAS 2024'!$I$9:$I$874,B255)</f>
        <v>0</v>
      </c>
      <c r="AH255" s="55">
        <f t="shared" si="29"/>
        <v>0</v>
      </c>
    </row>
    <row r="256" spans="1:34" ht="18.600000000000001" customHeight="1" thickBot="1" x14ac:dyDescent="0.3">
      <c r="A256" s="92"/>
      <c r="B256" s="93"/>
      <c r="C256" s="55">
        <f>SUM(C236:C255)</f>
        <v>0</v>
      </c>
      <c r="D256" s="55">
        <f t="shared" ref="D256:AE256" si="30">SUM(D236:D255)</f>
        <v>0</v>
      </c>
      <c r="E256" s="55">
        <f t="shared" si="30"/>
        <v>0</v>
      </c>
      <c r="F256" s="55">
        <f t="shared" si="30"/>
        <v>0</v>
      </c>
      <c r="G256" s="55">
        <f t="shared" si="30"/>
        <v>0</v>
      </c>
      <c r="H256" s="55">
        <f t="shared" si="30"/>
        <v>0</v>
      </c>
      <c r="I256" s="55">
        <f t="shared" si="30"/>
        <v>0</v>
      </c>
      <c r="J256" s="55">
        <f t="shared" si="30"/>
        <v>0</v>
      </c>
      <c r="K256" s="55">
        <f t="shared" si="30"/>
        <v>0</v>
      </c>
      <c r="L256" s="55">
        <f t="shared" si="30"/>
        <v>0</v>
      </c>
      <c r="M256" s="55">
        <f t="shared" si="30"/>
        <v>0</v>
      </c>
      <c r="N256" s="55">
        <f t="shared" si="30"/>
        <v>0</v>
      </c>
      <c r="O256" s="55">
        <f t="shared" si="30"/>
        <v>0</v>
      </c>
      <c r="P256" s="55">
        <f t="shared" si="30"/>
        <v>0</v>
      </c>
      <c r="Q256" s="55">
        <f t="shared" si="30"/>
        <v>0</v>
      </c>
      <c r="R256" s="55">
        <f t="shared" si="30"/>
        <v>0</v>
      </c>
      <c r="S256" s="55">
        <f t="shared" si="30"/>
        <v>0</v>
      </c>
      <c r="T256" s="55">
        <f t="shared" si="30"/>
        <v>0</v>
      </c>
      <c r="U256" s="55">
        <f t="shared" si="30"/>
        <v>0</v>
      </c>
      <c r="V256" s="55">
        <f t="shared" si="30"/>
        <v>0</v>
      </c>
      <c r="W256" s="55">
        <f t="shared" si="30"/>
        <v>0</v>
      </c>
      <c r="X256" s="55">
        <f t="shared" si="30"/>
        <v>0</v>
      </c>
      <c r="Y256" s="55">
        <f t="shared" si="30"/>
        <v>0</v>
      </c>
      <c r="Z256" s="55">
        <f t="shared" si="30"/>
        <v>0</v>
      </c>
      <c r="AA256" s="55">
        <f t="shared" si="30"/>
        <v>0</v>
      </c>
      <c r="AB256" s="55">
        <f t="shared" si="30"/>
        <v>0</v>
      </c>
      <c r="AC256" s="55">
        <f t="shared" si="30"/>
        <v>0</v>
      </c>
      <c r="AD256" s="55">
        <f t="shared" si="30"/>
        <v>0</v>
      </c>
      <c r="AE256" s="55">
        <f t="shared" si="30"/>
        <v>0</v>
      </c>
      <c r="AF256" s="55">
        <f>SUM(AF236:AF255)</f>
        <v>0</v>
      </c>
      <c r="AG256" s="55">
        <f>SUM(AG236:AG255)</f>
        <v>0</v>
      </c>
      <c r="AH256" s="30">
        <f>SUM(AH236:AH255)</f>
        <v>0</v>
      </c>
    </row>
    <row r="258" spans="1:34" ht="27" customHeight="1" x14ac:dyDescent="0.25">
      <c r="A258" s="92" t="s">
        <v>174</v>
      </c>
      <c r="B258" s="93"/>
      <c r="C258" s="111">
        <v>45962</v>
      </c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3" t="s">
        <v>178</v>
      </c>
    </row>
    <row r="259" spans="1:34" ht="13.8" thickBot="1" x14ac:dyDescent="0.3">
      <c r="A259" s="115" t="s">
        <v>175</v>
      </c>
      <c r="B259" s="115" t="s">
        <v>176</v>
      </c>
      <c r="C259" s="45">
        <v>1</v>
      </c>
      <c r="D259" s="45">
        <v>2</v>
      </c>
      <c r="E259" s="45">
        <v>3</v>
      </c>
      <c r="F259" s="45">
        <v>4</v>
      </c>
      <c r="G259" s="45">
        <v>5</v>
      </c>
      <c r="H259" s="45">
        <v>6</v>
      </c>
      <c r="I259" s="45">
        <v>7</v>
      </c>
      <c r="J259" s="45">
        <v>8</v>
      </c>
      <c r="K259" s="45">
        <v>9</v>
      </c>
      <c r="L259" s="45">
        <v>10</v>
      </c>
      <c r="M259" s="45">
        <v>11</v>
      </c>
      <c r="N259" s="45">
        <v>12</v>
      </c>
      <c r="O259" s="45">
        <v>13</v>
      </c>
      <c r="P259" s="45">
        <v>14</v>
      </c>
      <c r="Q259" s="45">
        <v>15</v>
      </c>
      <c r="R259" s="45">
        <v>16</v>
      </c>
      <c r="S259" s="45">
        <v>17</v>
      </c>
      <c r="T259" s="45">
        <v>18</v>
      </c>
      <c r="U259" s="45">
        <v>19</v>
      </c>
      <c r="V259" s="45">
        <v>20</v>
      </c>
      <c r="W259" s="45">
        <v>21</v>
      </c>
      <c r="X259" s="45">
        <v>22</v>
      </c>
      <c r="Y259" s="45">
        <v>23</v>
      </c>
      <c r="Z259" s="45">
        <v>24</v>
      </c>
      <c r="AA259" s="45">
        <v>25</v>
      </c>
      <c r="AB259" s="45">
        <v>26</v>
      </c>
      <c r="AC259" s="45">
        <v>27</v>
      </c>
      <c r="AD259" s="45">
        <v>28</v>
      </c>
      <c r="AE259" s="45">
        <v>29</v>
      </c>
      <c r="AF259" s="45">
        <v>30</v>
      </c>
      <c r="AG259" s="45"/>
      <c r="AH259" s="114"/>
    </row>
    <row r="260" spans="1:34" ht="13.8" thickBot="1" x14ac:dyDescent="0.3">
      <c r="A260" s="116"/>
      <c r="B260" s="116"/>
      <c r="C260" s="28" t="s">
        <v>182</v>
      </c>
      <c r="D260" s="28" t="s">
        <v>183</v>
      </c>
      <c r="E260" s="28" t="s">
        <v>179</v>
      </c>
      <c r="F260" s="28" t="s">
        <v>24</v>
      </c>
      <c r="G260" s="28" t="s">
        <v>24</v>
      </c>
      <c r="H260" s="28" t="s">
        <v>180</v>
      </c>
      <c r="I260" s="28" t="s">
        <v>181</v>
      </c>
      <c r="J260" s="28" t="s">
        <v>182</v>
      </c>
      <c r="K260" s="28" t="s">
        <v>183</v>
      </c>
      <c r="L260" s="28" t="s">
        <v>179</v>
      </c>
      <c r="M260" s="28" t="s">
        <v>24</v>
      </c>
      <c r="N260" s="28" t="s">
        <v>24</v>
      </c>
      <c r="O260" s="28" t="s">
        <v>180</v>
      </c>
      <c r="P260" s="28" t="s">
        <v>181</v>
      </c>
      <c r="Q260" s="28" t="s">
        <v>182</v>
      </c>
      <c r="R260" s="28" t="s">
        <v>183</v>
      </c>
      <c r="S260" s="28" t="s">
        <v>179</v>
      </c>
      <c r="T260" s="28" t="s">
        <v>24</v>
      </c>
      <c r="U260" s="28" t="s">
        <v>24</v>
      </c>
      <c r="V260" s="28" t="s">
        <v>180</v>
      </c>
      <c r="W260" s="28" t="s">
        <v>181</v>
      </c>
      <c r="X260" s="28" t="s">
        <v>182</v>
      </c>
      <c r="Y260" s="28" t="s">
        <v>183</v>
      </c>
      <c r="Z260" s="28" t="s">
        <v>179</v>
      </c>
      <c r="AA260" s="28" t="s">
        <v>24</v>
      </c>
      <c r="AB260" s="28" t="s">
        <v>24</v>
      </c>
      <c r="AC260" s="28" t="s">
        <v>180</v>
      </c>
      <c r="AD260" s="28" t="s">
        <v>181</v>
      </c>
      <c r="AE260" s="28" t="s">
        <v>182</v>
      </c>
      <c r="AF260" s="28" t="s">
        <v>183</v>
      </c>
      <c r="AG260" s="28"/>
      <c r="AH260" s="17" t="s">
        <v>184</v>
      </c>
    </row>
    <row r="261" spans="1:34" ht="13.8" thickBot="1" x14ac:dyDescent="0.3">
      <c r="A261" s="41">
        <v>1</v>
      </c>
      <c r="B261" s="54" t="s">
        <v>185</v>
      </c>
      <c r="C261" s="30">
        <f>COUNTIFS('AT. MEDICAS 2024'!$A$9:$A$874,"01/11/2025",'AT. MEDICAS 2024'!$I$9:$I$874,B261)</f>
        <v>0</v>
      </c>
      <c r="D261" s="30">
        <f>COUNTIFS('AT. MEDICAS 2024'!$A$9:$A$874,"02/11/2025",'AT. MEDICAS 2024'!$I$9:$I$874,B261)</f>
        <v>0</v>
      </c>
      <c r="E261" s="30">
        <f>COUNTIFS('AT. MEDICAS 2024'!$A$9:$A$874,"03/11/2025",'AT. MEDICAS 2024'!$I$9:$I$874,B261)</f>
        <v>0</v>
      </c>
      <c r="F261" s="30">
        <f>COUNTIFS('AT. MEDICAS 2024'!$A$9:$A$874,"04/11/2025",'AT. MEDICAS 2024'!$I$9:$I$874,B261)</f>
        <v>0</v>
      </c>
      <c r="G261" s="30">
        <f>COUNTIFS('AT. MEDICAS 2024'!$A$9:$A$874,"05/11/2025",'AT. MEDICAS 2024'!$I$9:$I$874,B261)</f>
        <v>0</v>
      </c>
      <c r="H261" s="30">
        <f>COUNTIFS('AT. MEDICAS 2024'!$A$9:$A$874,"06/11/2025",'AT. MEDICAS 2024'!$I$9:$I$874,B261)</f>
        <v>0</v>
      </c>
      <c r="I261" s="30">
        <f>COUNTIFS('AT. MEDICAS 2024'!$A$9:$A$874,"07/11/2025",'AT. MEDICAS 2024'!$I$9:$I$874,B261)</f>
        <v>0</v>
      </c>
      <c r="J261" s="30">
        <f>COUNTIFS('AT. MEDICAS 2024'!$A$9:$A$874,"08/11/2025",'AT. MEDICAS 2024'!$I$9:$I$874,B261)</f>
        <v>0</v>
      </c>
      <c r="K261" s="30">
        <f>COUNTIFS('AT. MEDICAS 2024'!$A$9:$A$874,"09/11/2025",'AT. MEDICAS 2024'!$I$9:$I$874,B261)</f>
        <v>0</v>
      </c>
      <c r="L261" s="30">
        <f>COUNTIFS('AT. MEDICAS 2024'!$A$9:$A$874,"10/11/2025",'AT. MEDICAS 2024'!$I$9:$I$874,B261)</f>
        <v>0</v>
      </c>
      <c r="M261" s="30">
        <f>COUNTIFS('AT. MEDICAS 2024'!$A$9:$A$874,"11/11/2025",'AT. MEDICAS 2024'!$I$9:$I$874,B261)</f>
        <v>0</v>
      </c>
      <c r="N261" s="30">
        <f>COUNTIFS('AT. MEDICAS 2024'!$A$9:$A$874,"12/11/2025",'AT. MEDICAS 2024'!$I$9:$I$874,B261)</f>
        <v>0</v>
      </c>
      <c r="O261" s="30">
        <f>COUNTIFS('AT. MEDICAS 2024'!$A$9:$A$874,"13/11/2025",'AT. MEDICAS 2024'!$I$9:$I$874,B261)</f>
        <v>0</v>
      </c>
      <c r="P261" s="30">
        <f>COUNTIFS('AT. MEDICAS 2024'!$A$9:$A$874,"14/11/2025",'AT. MEDICAS 2024'!$I$9:$I$874,B261)</f>
        <v>0</v>
      </c>
      <c r="Q261" s="30">
        <f>COUNTIFS('AT. MEDICAS 2024'!$A$9:$A$874,"15/11/2025",'AT. MEDICAS 2024'!$I$9:$I$874,B261)</f>
        <v>0</v>
      </c>
      <c r="R261" s="30">
        <f>COUNTIFS('AT. MEDICAS 2024'!$A$9:$A$874,"16/11/2025",'AT. MEDICAS 2024'!$I$9:$I$874,B261)</f>
        <v>0</v>
      </c>
      <c r="S261" s="30">
        <f>COUNTIFS('AT. MEDICAS 2024'!$A$9:$A$874,"17/11/2025",'AT. MEDICAS 2024'!$I$9:$I$874,B261)</f>
        <v>0</v>
      </c>
      <c r="T261" s="30">
        <f>COUNTIFS('AT. MEDICAS 2024'!$A$9:$A$874,"18/11/2025",'AT. MEDICAS 2024'!$I$9:$I$874,B261)</f>
        <v>0</v>
      </c>
      <c r="U261" s="30">
        <f>COUNTIFS('AT. MEDICAS 2024'!$A$9:$A$874,"19/11/2025",'AT. MEDICAS 2024'!$I$9:$I$874,B261)</f>
        <v>0</v>
      </c>
      <c r="V261" s="30">
        <f>COUNTIFS('AT. MEDICAS 2024'!$A$9:$A$874,"20/11/2025",'AT. MEDICAS 2024'!$I$9:$I$874,B261)</f>
        <v>0</v>
      </c>
      <c r="W261" s="30">
        <f>COUNTIFS('AT. MEDICAS 2024'!$A$9:$A$874,"21/11/2025",'AT. MEDICAS 2024'!$I$9:$I$874,B261)</f>
        <v>0</v>
      </c>
      <c r="X261" s="30">
        <f>COUNTIFS('AT. MEDICAS 2024'!$A$9:$A$874,"22/11/2025",'AT. MEDICAS 2024'!$I$9:$I$874,B261)</f>
        <v>0</v>
      </c>
      <c r="Y261" s="30">
        <f>COUNTIFS('AT. MEDICAS 2024'!$A$9:$A$874,"23/11/2025",'AT. MEDICAS 2024'!$I$9:$I$874,B261)</f>
        <v>0</v>
      </c>
      <c r="Z261" s="30">
        <f>COUNTIFS('AT. MEDICAS 2024'!$A$9:$A$874,"24/11/2025",'AT. MEDICAS 2024'!$I$9:$I$874,B261)</f>
        <v>0</v>
      </c>
      <c r="AA261" s="30">
        <f>COUNTIFS('AT. MEDICAS 2024'!$A$9:$A$874,"25/11/2025",'AT. MEDICAS 2024'!$I$9:$I$874,B261)</f>
        <v>0</v>
      </c>
      <c r="AB261" s="30">
        <f>COUNTIFS('AT. MEDICAS 2024'!$A$9:$A$874,"26/11/2025",'AT. MEDICAS 2024'!$I$9:$I$874,B261)</f>
        <v>0</v>
      </c>
      <c r="AC261" s="30">
        <f>COUNTIFS('AT. MEDICAS 2024'!$A$9:$A$874,"27/11/2025",'AT. MEDICAS 2024'!$I$9:$I$874,B261)</f>
        <v>0</v>
      </c>
      <c r="AD261" s="30">
        <f>COUNTIFS('AT. MEDICAS 2024'!$A$9:$A$874,"28/11/2025",'AT. MEDICAS 2024'!$I$9:$I$874,B261)</f>
        <v>0</v>
      </c>
      <c r="AE261" s="30">
        <f>COUNTIFS('AT. MEDICAS 2024'!$A$9:$A$874,"29/11/2025",'AT. MEDICAS 2024'!$I$9:$I$874,B261)</f>
        <v>0</v>
      </c>
      <c r="AF261" s="30">
        <f>COUNTIFS('AT. MEDICAS 2024'!$A$9:$A$874,"30/11/2025",'AT. MEDICAS 2024'!$I$9:$I$874,B261)</f>
        <v>0</v>
      </c>
      <c r="AG261" s="30"/>
      <c r="AH261" s="55">
        <f t="shared" ref="AH261:AH280" si="31">SUM(C261:AG261)</f>
        <v>0</v>
      </c>
    </row>
    <row r="262" spans="1:34" ht="13.8" thickBot="1" x14ac:dyDescent="0.3">
      <c r="A262" s="41">
        <v>2</v>
      </c>
      <c r="B262" s="54" t="s">
        <v>186</v>
      </c>
      <c r="C262" s="30">
        <f>COUNTIFS('AT. MEDICAS 2024'!$A$9:$A$874,"01/11/2025",'AT. MEDICAS 2024'!$I$9:$I$874,B262)</f>
        <v>0</v>
      </c>
      <c r="D262" s="30">
        <f>COUNTIFS('AT. MEDICAS 2024'!$A$9:$A$874,"02/11/2025",'AT. MEDICAS 2024'!$I$9:$I$874,B262)</f>
        <v>0</v>
      </c>
      <c r="E262" s="30">
        <f>COUNTIFS('AT. MEDICAS 2024'!$A$9:$A$874,"03/11/2025",'AT. MEDICAS 2024'!$I$9:$I$874,B262)</f>
        <v>0</v>
      </c>
      <c r="F262" s="30">
        <f>COUNTIFS('AT. MEDICAS 2024'!$A$9:$A$874,"04/11/2025",'AT. MEDICAS 2024'!$I$9:$I$874,B262)</f>
        <v>0</v>
      </c>
      <c r="G262" s="30">
        <f>COUNTIFS('AT. MEDICAS 2024'!$A$9:$A$874,"05/11/2025",'AT. MEDICAS 2024'!$I$9:$I$874,B262)</f>
        <v>0</v>
      </c>
      <c r="H262" s="30">
        <f>COUNTIFS('AT. MEDICAS 2024'!$A$9:$A$874,"06/11/2025",'AT. MEDICAS 2024'!$I$9:$I$874,B262)</f>
        <v>0</v>
      </c>
      <c r="I262" s="30">
        <f>COUNTIFS('AT. MEDICAS 2024'!$A$9:$A$874,"07/11/2025",'AT. MEDICAS 2024'!$I$9:$I$874,B262)</f>
        <v>0</v>
      </c>
      <c r="J262" s="30">
        <f>COUNTIFS('AT. MEDICAS 2024'!$A$9:$A$874,"08/11/2025",'AT. MEDICAS 2024'!$I$9:$I$874,B262)</f>
        <v>0</v>
      </c>
      <c r="K262" s="30">
        <f>COUNTIFS('AT. MEDICAS 2024'!$A$9:$A$874,"09/11/2025",'AT. MEDICAS 2024'!$I$9:$I$874,B262)</f>
        <v>0</v>
      </c>
      <c r="L262" s="30">
        <f>COUNTIFS('AT. MEDICAS 2024'!$A$9:$A$874,"10/11/2025",'AT. MEDICAS 2024'!$I$9:$I$874,B262)</f>
        <v>0</v>
      </c>
      <c r="M262" s="30">
        <f>COUNTIFS('AT. MEDICAS 2024'!$A$9:$A$874,"11/11/2025",'AT. MEDICAS 2024'!$I$9:$I$874,B262)</f>
        <v>0</v>
      </c>
      <c r="N262" s="30">
        <f>COUNTIFS('AT. MEDICAS 2024'!$A$9:$A$874,"12/11/2025",'AT. MEDICAS 2024'!$I$9:$I$874,B262)</f>
        <v>0</v>
      </c>
      <c r="O262" s="30">
        <f>COUNTIFS('AT. MEDICAS 2024'!$A$9:$A$874,"13/11/2025",'AT. MEDICAS 2024'!$I$9:$I$874,B262)</f>
        <v>0</v>
      </c>
      <c r="P262" s="30">
        <f>COUNTIFS('AT. MEDICAS 2024'!$A$9:$A$874,"14/11/2025",'AT. MEDICAS 2024'!$I$9:$I$874,B262)</f>
        <v>0</v>
      </c>
      <c r="Q262" s="30">
        <f>COUNTIFS('AT. MEDICAS 2024'!$A$9:$A$874,"15/11/2025",'AT. MEDICAS 2024'!$I$9:$I$874,B262)</f>
        <v>0</v>
      </c>
      <c r="R262" s="30">
        <f>COUNTIFS('AT. MEDICAS 2024'!$A$9:$A$874,"16/11/2025",'AT. MEDICAS 2024'!$I$9:$I$874,B262)</f>
        <v>0</v>
      </c>
      <c r="S262" s="30">
        <f>COUNTIFS('AT. MEDICAS 2024'!$A$9:$A$874,"17/11/2025",'AT. MEDICAS 2024'!$I$9:$I$874,B262)</f>
        <v>0</v>
      </c>
      <c r="T262" s="30">
        <f>COUNTIFS('AT. MEDICAS 2024'!$A$9:$A$874,"18/11/2025",'AT. MEDICAS 2024'!$I$9:$I$874,B262)</f>
        <v>0</v>
      </c>
      <c r="U262" s="30">
        <f>COUNTIFS('AT. MEDICAS 2024'!$A$9:$A$874,"19/11/2025",'AT. MEDICAS 2024'!$I$9:$I$874,B262)</f>
        <v>0</v>
      </c>
      <c r="V262" s="30">
        <f>COUNTIFS('AT. MEDICAS 2024'!$A$9:$A$874,"20/11/2025",'AT. MEDICAS 2024'!$I$9:$I$874,B262)</f>
        <v>0</v>
      </c>
      <c r="W262" s="30">
        <f>COUNTIFS('AT. MEDICAS 2024'!$A$9:$A$874,"21/11/2025",'AT. MEDICAS 2024'!$I$9:$I$874,B262)</f>
        <v>0</v>
      </c>
      <c r="X262" s="30">
        <f>COUNTIFS('AT. MEDICAS 2024'!$A$9:$A$874,"22/11/2025",'AT. MEDICAS 2024'!$I$9:$I$874,B262)</f>
        <v>0</v>
      </c>
      <c r="Y262" s="30">
        <f>COUNTIFS('AT. MEDICAS 2024'!$A$9:$A$874,"23/11/2025",'AT. MEDICAS 2024'!$I$9:$I$874,B262)</f>
        <v>0</v>
      </c>
      <c r="Z262" s="30">
        <f>COUNTIFS('AT. MEDICAS 2024'!$A$9:$A$874,"24/11/2025",'AT. MEDICAS 2024'!$I$9:$I$874,B262)</f>
        <v>0</v>
      </c>
      <c r="AA262" s="30">
        <f>COUNTIFS('AT. MEDICAS 2024'!$A$9:$A$874,"25/11/2025",'AT. MEDICAS 2024'!$I$9:$I$874,B262)</f>
        <v>0</v>
      </c>
      <c r="AB262" s="30">
        <f>COUNTIFS('AT. MEDICAS 2024'!$A$9:$A$874,"26/11/2025",'AT. MEDICAS 2024'!$I$9:$I$874,B262)</f>
        <v>0</v>
      </c>
      <c r="AC262" s="30">
        <f>COUNTIFS('AT. MEDICAS 2024'!$A$9:$A$874,"27/11/2025",'AT. MEDICAS 2024'!$I$9:$I$874,B262)</f>
        <v>0</v>
      </c>
      <c r="AD262" s="30">
        <f>COUNTIFS('AT. MEDICAS 2024'!$A$9:$A$874,"28/11/2025",'AT. MEDICAS 2024'!$I$9:$I$874,B262)</f>
        <v>0</v>
      </c>
      <c r="AE262" s="30">
        <f>COUNTIFS('AT. MEDICAS 2024'!$A$9:$A$874,"29/11/2025",'AT. MEDICAS 2024'!$I$9:$I$874,B262)</f>
        <v>0</v>
      </c>
      <c r="AF262" s="30">
        <f>COUNTIFS('AT. MEDICAS 2024'!$A$9:$A$874,"30/11/2025",'AT. MEDICAS 2024'!$I$9:$I$874,B262)</f>
        <v>0</v>
      </c>
      <c r="AG262" s="30"/>
      <c r="AH262" s="55">
        <f t="shared" si="31"/>
        <v>0</v>
      </c>
    </row>
    <row r="263" spans="1:34" ht="13.8" thickBot="1" x14ac:dyDescent="0.3">
      <c r="A263" s="41">
        <v>3</v>
      </c>
      <c r="B263" s="54" t="s">
        <v>94</v>
      </c>
      <c r="C263" s="30">
        <f>COUNTIFS('AT. MEDICAS 2024'!$A$9:$A$874,"01/11/2025",'AT. MEDICAS 2024'!$I$9:$I$874,B263)</f>
        <v>0</v>
      </c>
      <c r="D263" s="30">
        <f>COUNTIFS('AT. MEDICAS 2024'!$A$9:$A$874,"02/11/2025",'AT. MEDICAS 2024'!$I$9:$I$874,B263)</f>
        <v>0</v>
      </c>
      <c r="E263" s="30">
        <f>COUNTIFS('AT. MEDICAS 2024'!$A$9:$A$874,"03/11/2025",'AT. MEDICAS 2024'!$I$9:$I$874,B263)</f>
        <v>0</v>
      </c>
      <c r="F263" s="30">
        <f>COUNTIFS('AT. MEDICAS 2024'!$A$9:$A$874,"04/11/2025",'AT. MEDICAS 2024'!$I$9:$I$874,B263)</f>
        <v>0</v>
      </c>
      <c r="G263" s="30">
        <f>COUNTIFS('AT. MEDICAS 2024'!$A$9:$A$874,"05/11/2025",'AT. MEDICAS 2024'!$I$9:$I$874,B263)</f>
        <v>0</v>
      </c>
      <c r="H263" s="30">
        <f>COUNTIFS('AT. MEDICAS 2024'!$A$9:$A$874,"06/11/2025",'AT. MEDICAS 2024'!$I$9:$I$874,B263)</f>
        <v>0</v>
      </c>
      <c r="I263" s="30">
        <f>COUNTIFS('AT. MEDICAS 2024'!$A$9:$A$874,"07/11/2025",'AT. MEDICAS 2024'!$I$9:$I$874,B263)</f>
        <v>0</v>
      </c>
      <c r="J263" s="30">
        <f>COUNTIFS('AT. MEDICAS 2024'!$A$9:$A$874,"08/11/2025",'AT. MEDICAS 2024'!$I$9:$I$874,B263)</f>
        <v>0</v>
      </c>
      <c r="K263" s="30">
        <f>COUNTIFS('AT. MEDICAS 2024'!$A$9:$A$874,"09/11/2025",'AT. MEDICAS 2024'!$I$9:$I$874,B263)</f>
        <v>0</v>
      </c>
      <c r="L263" s="30">
        <f>COUNTIFS('AT. MEDICAS 2024'!$A$9:$A$874,"10/11/2025",'AT. MEDICAS 2024'!$I$9:$I$874,B263)</f>
        <v>0</v>
      </c>
      <c r="M263" s="30">
        <f>COUNTIFS('AT. MEDICAS 2024'!$A$9:$A$874,"11/11/2025",'AT. MEDICAS 2024'!$I$9:$I$874,B263)</f>
        <v>0</v>
      </c>
      <c r="N263" s="30">
        <f>COUNTIFS('AT. MEDICAS 2024'!$A$9:$A$874,"12/11/2025",'AT. MEDICAS 2024'!$I$9:$I$874,B263)</f>
        <v>0</v>
      </c>
      <c r="O263" s="30">
        <f>COUNTIFS('AT. MEDICAS 2024'!$A$9:$A$874,"13/11/2025",'AT. MEDICAS 2024'!$I$9:$I$874,B263)</f>
        <v>0</v>
      </c>
      <c r="P263" s="30">
        <f>COUNTIFS('AT. MEDICAS 2024'!$A$9:$A$874,"14/11/2025",'AT. MEDICAS 2024'!$I$9:$I$874,B263)</f>
        <v>0</v>
      </c>
      <c r="Q263" s="30">
        <f>COUNTIFS('AT. MEDICAS 2024'!$A$9:$A$874,"15/11/2025",'AT. MEDICAS 2024'!$I$9:$I$874,B263)</f>
        <v>0</v>
      </c>
      <c r="R263" s="30">
        <f>COUNTIFS('AT. MEDICAS 2024'!$A$9:$A$874,"16/11/2025",'AT. MEDICAS 2024'!$I$9:$I$874,B263)</f>
        <v>0</v>
      </c>
      <c r="S263" s="30">
        <f>COUNTIFS('AT. MEDICAS 2024'!$A$9:$A$874,"17/11/2025",'AT. MEDICAS 2024'!$I$9:$I$874,B263)</f>
        <v>0</v>
      </c>
      <c r="T263" s="30">
        <f>COUNTIFS('AT. MEDICAS 2024'!$A$9:$A$874,"18/11/2025",'AT. MEDICAS 2024'!$I$9:$I$874,B263)</f>
        <v>0</v>
      </c>
      <c r="U263" s="30">
        <f>COUNTIFS('AT. MEDICAS 2024'!$A$9:$A$874,"19/11/2025",'AT. MEDICAS 2024'!$I$9:$I$874,B263)</f>
        <v>0</v>
      </c>
      <c r="V263" s="30">
        <f>COUNTIFS('AT. MEDICAS 2024'!$A$9:$A$874,"20/11/2025",'AT. MEDICAS 2024'!$I$9:$I$874,B263)</f>
        <v>0</v>
      </c>
      <c r="W263" s="30">
        <f>COUNTIFS('AT. MEDICAS 2024'!$A$9:$A$874,"21/11/2025",'AT. MEDICAS 2024'!$I$9:$I$874,B263)</f>
        <v>0</v>
      </c>
      <c r="X263" s="30">
        <f>COUNTIFS('AT. MEDICAS 2024'!$A$9:$A$874,"22/11/2025",'AT. MEDICAS 2024'!$I$9:$I$874,B263)</f>
        <v>0</v>
      </c>
      <c r="Y263" s="30">
        <f>COUNTIFS('AT. MEDICAS 2024'!$A$9:$A$874,"23/11/2025",'AT. MEDICAS 2024'!$I$9:$I$874,B263)</f>
        <v>0</v>
      </c>
      <c r="Z263" s="30">
        <f>COUNTIFS('AT. MEDICAS 2024'!$A$9:$A$874,"24/11/2025",'AT. MEDICAS 2024'!$I$9:$I$874,B263)</f>
        <v>0</v>
      </c>
      <c r="AA263" s="30">
        <f>COUNTIFS('AT. MEDICAS 2024'!$A$9:$A$874,"25/11/2025",'AT. MEDICAS 2024'!$I$9:$I$874,B263)</f>
        <v>0</v>
      </c>
      <c r="AB263" s="30">
        <f>COUNTIFS('AT. MEDICAS 2024'!$A$9:$A$874,"26/11/2025",'AT. MEDICAS 2024'!$I$9:$I$874,B263)</f>
        <v>0</v>
      </c>
      <c r="AC263" s="30">
        <f>COUNTIFS('AT. MEDICAS 2024'!$A$9:$A$874,"27/11/2025",'AT. MEDICAS 2024'!$I$9:$I$874,B263)</f>
        <v>0</v>
      </c>
      <c r="AD263" s="30">
        <f>COUNTIFS('AT. MEDICAS 2024'!$A$9:$A$874,"28/11/2025",'AT. MEDICAS 2024'!$I$9:$I$874,B263)</f>
        <v>0</v>
      </c>
      <c r="AE263" s="30">
        <f>COUNTIFS('AT. MEDICAS 2024'!$A$9:$A$874,"29/11/2025",'AT. MEDICAS 2024'!$I$9:$I$874,B263)</f>
        <v>0</v>
      </c>
      <c r="AF263" s="30">
        <f>COUNTIFS('AT. MEDICAS 2024'!$A$9:$A$874,"30/11/2025",'AT. MEDICAS 2024'!$I$9:$I$874,B263)</f>
        <v>0</v>
      </c>
      <c r="AG263" s="30"/>
      <c r="AH263" s="55">
        <f t="shared" si="31"/>
        <v>0</v>
      </c>
    </row>
    <row r="264" spans="1:34" ht="13.8" thickBot="1" x14ac:dyDescent="0.3">
      <c r="A264" s="41">
        <v>4</v>
      </c>
      <c r="B264" s="54" t="s">
        <v>50</v>
      </c>
      <c r="C264" s="30">
        <f>COUNTIFS('AT. MEDICAS 2024'!$A$9:$A$874,"01/11/2025",'AT. MEDICAS 2024'!$I$9:$I$874,B264)</f>
        <v>0</v>
      </c>
      <c r="D264" s="30">
        <f>COUNTIFS('AT. MEDICAS 2024'!$A$9:$A$874,"02/11/2025",'AT. MEDICAS 2024'!$I$9:$I$874,B264)</f>
        <v>0</v>
      </c>
      <c r="E264" s="30">
        <f>COUNTIFS('AT. MEDICAS 2024'!$A$9:$A$874,"03/11/2025",'AT. MEDICAS 2024'!$I$9:$I$874,B264)</f>
        <v>0</v>
      </c>
      <c r="F264" s="30">
        <f>COUNTIFS('AT. MEDICAS 2024'!$A$9:$A$874,"04/11/2025",'AT. MEDICAS 2024'!$I$9:$I$874,B264)</f>
        <v>0</v>
      </c>
      <c r="G264" s="30">
        <f>COUNTIFS('AT. MEDICAS 2024'!$A$9:$A$874,"05/11/2025",'AT. MEDICAS 2024'!$I$9:$I$874,B264)</f>
        <v>0</v>
      </c>
      <c r="H264" s="30">
        <f>COUNTIFS('AT. MEDICAS 2024'!$A$9:$A$874,"06/11/2025",'AT. MEDICAS 2024'!$I$9:$I$874,B264)</f>
        <v>0</v>
      </c>
      <c r="I264" s="30">
        <f>COUNTIFS('AT. MEDICAS 2024'!$A$9:$A$874,"07/11/2025",'AT. MEDICAS 2024'!$I$9:$I$874,B264)</f>
        <v>0</v>
      </c>
      <c r="J264" s="30">
        <f>COUNTIFS('AT. MEDICAS 2024'!$A$9:$A$874,"08/11/2025",'AT. MEDICAS 2024'!$I$9:$I$874,B264)</f>
        <v>0</v>
      </c>
      <c r="K264" s="30">
        <f>COUNTIFS('AT. MEDICAS 2024'!$A$9:$A$874,"09/11/2025",'AT. MEDICAS 2024'!$I$9:$I$874,B264)</f>
        <v>0</v>
      </c>
      <c r="L264" s="30">
        <f>COUNTIFS('AT. MEDICAS 2024'!$A$9:$A$874,"10/11/2025",'AT. MEDICAS 2024'!$I$9:$I$874,B264)</f>
        <v>0</v>
      </c>
      <c r="M264" s="30">
        <f>COUNTIFS('AT. MEDICAS 2024'!$A$9:$A$874,"11/11/2025",'AT. MEDICAS 2024'!$I$9:$I$874,B264)</f>
        <v>0</v>
      </c>
      <c r="N264" s="30">
        <f>COUNTIFS('AT. MEDICAS 2024'!$A$9:$A$874,"12/11/2025",'AT. MEDICAS 2024'!$I$9:$I$874,B264)</f>
        <v>0</v>
      </c>
      <c r="O264" s="30">
        <f>COUNTIFS('AT. MEDICAS 2024'!$A$9:$A$874,"13/11/2025",'AT. MEDICAS 2024'!$I$9:$I$874,B264)</f>
        <v>0</v>
      </c>
      <c r="P264" s="30">
        <f>COUNTIFS('AT. MEDICAS 2024'!$A$9:$A$874,"14/11/2025",'AT. MEDICAS 2024'!$I$9:$I$874,B264)</f>
        <v>0</v>
      </c>
      <c r="Q264" s="30">
        <f>COUNTIFS('AT. MEDICAS 2024'!$A$9:$A$874,"15/11/2025",'AT. MEDICAS 2024'!$I$9:$I$874,B264)</f>
        <v>0</v>
      </c>
      <c r="R264" s="30">
        <f>COUNTIFS('AT. MEDICAS 2024'!$A$9:$A$874,"16/11/2025",'AT. MEDICAS 2024'!$I$9:$I$874,B264)</f>
        <v>0</v>
      </c>
      <c r="S264" s="30">
        <f>COUNTIFS('AT. MEDICAS 2024'!$A$9:$A$874,"17/11/2025",'AT. MEDICAS 2024'!$I$9:$I$874,B264)</f>
        <v>0</v>
      </c>
      <c r="T264" s="30">
        <f>COUNTIFS('AT. MEDICAS 2024'!$A$9:$A$874,"18/11/2025",'AT. MEDICAS 2024'!$I$9:$I$874,B264)</f>
        <v>0</v>
      </c>
      <c r="U264" s="30">
        <f>COUNTIFS('AT. MEDICAS 2024'!$A$9:$A$874,"19/11/2025",'AT. MEDICAS 2024'!$I$9:$I$874,B264)</f>
        <v>0</v>
      </c>
      <c r="V264" s="30">
        <f>COUNTIFS('AT. MEDICAS 2024'!$A$9:$A$874,"20/11/2025",'AT. MEDICAS 2024'!$I$9:$I$874,B264)</f>
        <v>0</v>
      </c>
      <c r="W264" s="30">
        <f>COUNTIFS('AT. MEDICAS 2024'!$A$9:$A$874,"21/11/2025",'AT. MEDICAS 2024'!$I$9:$I$874,B264)</f>
        <v>0</v>
      </c>
      <c r="X264" s="30">
        <f>COUNTIFS('AT. MEDICAS 2024'!$A$9:$A$874,"22/11/2025",'AT. MEDICAS 2024'!$I$9:$I$874,B264)</f>
        <v>0</v>
      </c>
      <c r="Y264" s="30">
        <f>COUNTIFS('AT. MEDICAS 2024'!$A$9:$A$874,"23/11/2025",'AT. MEDICAS 2024'!$I$9:$I$874,B264)</f>
        <v>0</v>
      </c>
      <c r="Z264" s="30">
        <f>COUNTIFS('AT. MEDICAS 2024'!$A$9:$A$874,"24/11/2025",'AT. MEDICAS 2024'!$I$9:$I$874,B264)</f>
        <v>0</v>
      </c>
      <c r="AA264" s="30">
        <f>COUNTIFS('AT. MEDICAS 2024'!$A$9:$A$874,"25/11/2025",'AT. MEDICAS 2024'!$I$9:$I$874,B264)</f>
        <v>0</v>
      </c>
      <c r="AB264" s="30">
        <f>COUNTIFS('AT. MEDICAS 2024'!$A$9:$A$874,"26/11/2025",'AT. MEDICAS 2024'!$I$9:$I$874,B264)</f>
        <v>0</v>
      </c>
      <c r="AC264" s="30">
        <f>COUNTIFS('AT. MEDICAS 2024'!$A$9:$A$874,"27/11/2025",'AT. MEDICAS 2024'!$I$9:$I$874,B264)</f>
        <v>0</v>
      </c>
      <c r="AD264" s="30">
        <f>COUNTIFS('AT. MEDICAS 2024'!$A$9:$A$874,"28/11/2025",'AT. MEDICAS 2024'!$I$9:$I$874,B264)</f>
        <v>0</v>
      </c>
      <c r="AE264" s="30">
        <f>COUNTIFS('AT. MEDICAS 2024'!$A$9:$A$874,"29/11/2025",'AT. MEDICAS 2024'!$I$9:$I$874,B264)</f>
        <v>0</v>
      </c>
      <c r="AF264" s="30">
        <f>COUNTIFS('AT. MEDICAS 2024'!$A$9:$A$874,"30/11/2025",'AT. MEDICAS 2024'!$I$9:$I$874,B264)</f>
        <v>0</v>
      </c>
      <c r="AG264" s="30"/>
      <c r="AH264" s="55">
        <f t="shared" si="31"/>
        <v>0</v>
      </c>
    </row>
    <row r="265" spans="1:34" ht="13.8" thickBot="1" x14ac:dyDescent="0.3">
      <c r="A265" s="41">
        <v>5</v>
      </c>
      <c r="B265" s="54" t="s">
        <v>187</v>
      </c>
      <c r="C265" s="30">
        <f>COUNTIFS('AT. MEDICAS 2024'!$A$9:$A$874,"01/11/2025",'AT. MEDICAS 2024'!$I$9:$I$874,B265)</f>
        <v>0</v>
      </c>
      <c r="D265" s="30">
        <f>COUNTIFS('AT. MEDICAS 2024'!$A$9:$A$874,"02/11/2025",'AT. MEDICAS 2024'!$I$9:$I$874,B265)</f>
        <v>0</v>
      </c>
      <c r="E265" s="30">
        <f>COUNTIFS('AT. MEDICAS 2024'!$A$9:$A$874,"03/11/2025",'AT. MEDICAS 2024'!$I$9:$I$874,B265)</f>
        <v>0</v>
      </c>
      <c r="F265" s="30">
        <f>COUNTIFS('AT. MEDICAS 2024'!$A$9:$A$874,"04/11/2025",'AT. MEDICAS 2024'!$I$9:$I$874,B265)</f>
        <v>0</v>
      </c>
      <c r="G265" s="30">
        <f>COUNTIFS('AT. MEDICAS 2024'!$A$9:$A$874,"05/11/2025",'AT. MEDICAS 2024'!$I$9:$I$874,B265)</f>
        <v>0</v>
      </c>
      <c r="H265" s="30">
        <f>COUNTIFS('AT. MEDICAS 2024'!$A$9:$A$874,"06/11/2025",'AT. MEDICAS 2024'!$I$9:$I$874,B265)</f>
        <v>0</v>
      </c>
      <c r="I265" s="30">
        <f>COUNTIFS('AT. MEDICAS 2024'!$A$9:$A$874,"07/11/2025",'AT. MEDICAS 2024'!$I$9:$I$874,B265)</f>
        <v>0</v>
      </c>
      <c r="J265" s="30">
        <f>COUNTIFS('AT. MEDICAS 2024'!$A$9:$A$874,"08/11/2025",'AT. MEDICAS 2024'!$I$9:$I$874,B265)</f>
        <v>0</v>
      </c>
      <c r="K265" s="30">
        <f>COUNTIFS('AT. MEDICAS 2024'!$A$9:$A$874,"09/11/2025",'AT. MEDICAS 2024'!$I$9:$I$874,B265)</f>
        <v>0</v>
      </c>
      <c r="L265" s="30">
        <f>COUNTIFS('AT. MEDICAS 2024'!$A$9:$A$874,"10/11/2025",'AT. MEDICAS 2024'!$I$9:$I$874,B265)</f>
        <v>0</v>
      </c>
      <c r="M265" s="30">
        <f>COUNTIFS('AT. MEDICAS 2024'!$A$9:$A$874,"11/11/2025",'AT. MEDICAS 2024'!$I$9:$I$874,B265)</f>
        <v>0</v>
      </c>
      <c r="N265" s="30">
        <f>COUNTIFS('AT. MEDICAS 2024'!$A$9:$A$874,"12/11/2025",'AT. MEDICAS 2024'!$I$9:$I$874,B265)</f>
        <v>0</v>
      </c>
      <c r="O265" s="30">
        <f>COUNTIFS('AT. MEDICAS 2024'!$A$9:$A$874,"13/11/2025",'AT. MEDICAS 2024'!$I$9:$I$874,B265)</f>
        <v>0</v>
      </c>
      <c r="P265" s="30">
        <f>COUNTIFS('AT. MEDICAS 2024'!$A$9:$A$874,"14/11/2025",'AT. MEDICAS 2024'!$I$9:$I$874,B265)</f>
        <v>0</v>
      </c>
      <c r="Q265" s="30">
        <f>COUNTIFS('AT. MEDICAS 2024'!$A$9:$A$874,"15/11/2025",'AT. MEDICAS 2024'!$I$9:$I$874,B265)</f>
        <v>0</v>
      </c>
      <c r="R265" s="30">
        <f>COUNTIFS('AT. MEDICAS 2024'!$A$9:$A$874,"16/11/2025",'AT. MEDICAS 2024'!$I$9:$I$874,B265)</f>
        <v>0</v>
      </c>
      <c r="S265" s="30">
        <f>COUNTIFS('AT. MEDICAS 2024'!$A$9:$A$874,"17/11/2025",'AT. MEDICAS 2024'!$I$9:$I$874,B265)</f>
        <v>0</v>
      </c>
      <c r="T265" s="30">
        <f>COUNTIFS('AT. MEDICAS 2024'!$A$9:$A$874,"18/11/2025",'AT. MEDICAS 2024'!$I$9:$I$874,B265)</f>
        <v>0</v>
      </c>
      <c r="U265" s="30">
        <f>COUNTIFS('AT. MEDICAS 2024'!$A$9:$A$874,"19/11/2025",'AT. MEDICAS 2024'!$I$9:$I$874,B265)</f>
        <v>0</v>
      </c>
      <c r="V265" s="30">
        <f>COUNTIFS('AT. MEDICAS 2024'!$A$9:$A$874,"20/11/2025",'AT. MEDICAS 2024'!$I$9:$I$874,B265)</f>
        <v>0</v>
      </c>
      <c r="W265" s="30">
        <f>COUNTIFS('AT. MEDICAS 2024'!$A$9:$A$874,"21/11/2025",'AT. MEDICAS 2024'!$I$9:$I$874,B265)</f>
        <v>0</v>
      </c>
      <c r="X265" s="30">
        <f>COUNTIFS('AT. MEDICAS 2024'!$A$9:$A$874,"22/11/2025",'AT. MEDICAS 2024'!$I$9:$I$874,B265)</f>
        <v>0</v>
      </c>
      <c r="Y265" s="30">
        <f>COUNTIFS('AT. MEDICAS 2024'!$A$9:$A$874,"23/11/2025",'AT. MEDICAS 2024'!$I$9:$I$874,B265)</f>
        <v>0</v>
      </c>
      <c r="Z265" s="30">
        <f>COUNTIFS('AT. MEDICAS 2024'!$A$9:$A$874,"24/11/2025",'AT. MEDICAS 2024'!$I$9:$I$874,B265)</f>
        <v>0</v>
      </c>
      <c r="AA265" s="30">
        <f>COUNTIFS('AT. MEDICAS 2024'!$A$9:$A$874,"25/11/2025",'AT. MEDICAS 2024'!$I$9:$I$874,B265)</f>
        <v>0</v>
      </c>
      <c r="AB265" s="30">
        <f>COUNTIFS('AT. MEDICAS 2024'!$A$9:$A$874,"26/11/2025",'AT. MEDICAS 2024'!$I$9:$I$874,B265)</f>
        <v>0</v>
      </c>
      <c r="AC265" s="30">
        <f>COUNTIFS('AT. MEDICAS 2024'!$A$9:$A$874,"27/11/2025",'AT. MEDICAS 2024'!$I$9:$I$874,B265)</f>
        <v>0</v>
      </c>
      <c r="AD265" s="30">
        <f>COUNTIFS('AT. MEDICAS 2024'!$A$9:$A$874,"28/11/2025",'AT. MEDICAS 2024'!$I$9:$I$874,B265)</f>
        <v>0</v>
      </c>
      <c r="AE265" s="30">
        <f>COUNTIFS('AT. MEDICAS 2024'!$A$9:$A$874,"29/11/2025",'AT. MEDICAS 2024'!$I$9:$I$874,B265)</f>
        <v>0</v>
      </c>
      <c r="AF265" s="30">
        <f>COUNTIFS('AT. MEDICAS 2024'!$A$9:$A$874,"30/11/2025",'AT. MEDICAS 2024'!$I$9:$I$874,B265)</f>
        <v>0</v>
      </c>
      <c r="AG265" s="30"/>
      <c r="AH265" s="55">
        <f t="shared" si="31"/>
        <v>0</v>
      </c>
    </row>
    <row r="266" spans="1:34" ht="13.8" thickBot="1" x14ac:dyDescent="0.3">
      <c r="A266" s="41">
        <v>6</v>
      </c>
      <c r="B266" s="54" t="s">
        <v>46</v>
      </c>
      <c r="C266" s="30">
        <f>COUNTIFS('AT. MEDICAS 2024'!$A$9:$A$874,"01/11/2025",'AT. MEDICAS 2024'!$I$9:$I$874,B266)</f>
        <v>0</v>
      </c>
      <c r="D266" s="30">
        <f>COUNTIFS('AT. MEDICAS 2024'!$A$9:$A$874,"02/11/2025",'AT. MEDICAS 2024'!$I$9:$I$874,B266)</f>
        <v>0</v>
      </c>
      <c r="E266" s="30">
        <f>COUNTIFS('AT. MEDICAS 2024'!$A$9:$A$874,"03/11/2025",'AT. MEDICAS 2024'!$I$9:$I$874,B266)</f>
        <v>0</v>
      </c>
      <c r="F266" s="30">
        <f>COUNTIFS('AT. MEDICAS 2024'!$A$9:$A$874,"04/11/2025",'AT. MEDICAS 2024'!$I$9:$I$874,B266)</f>
        <v>0</v>
      </c>
      <c r="G266" s="30">
        <f>COUNTIFS('AT. MEDICAS 2024'!$A$9:$A$874,"05/11/2025",'AT. MEDICAS 2024'!$I$9:$I$874,B266)</f>
        <v>0</v>
      </c>
      <c r="H266" s="30">
        <f>COUNTIFS('AT. MEDICAS 2024'!$A$9:$A$874,"06/11/2025",'AT. MEDICAS 2024'!$I$9:$I$874,B266)</f>
        <v>0</v>
      </c>
      <c r="I266" s="30">
        <f>COUNTIFS('AT. MEDICAS 2024'!$A$9:$A$874,"07/11/2025",'AT. MEDICAS 2024'!$I$9:$I$874,B266)</f>
        <v>0</v>
      </c>
      <c r="J266" s="30">
        <f>COUNTIFS('AT. MEDICAS 2024'!$A$9:$A$874,"08/11/2025",'AT. MEDICAS 2024'!$I$9:$I$874,B266)</f>
        <v>0</v>
      </c>
      <c r="K266" s="30">
        <f>COUNTIFS('AT. MEDICAS 2024'!$A$9:$A$874,"09/11/2025",'AT. MEDICAS 2024'!$I$9:$I$874,B266)</f>
        <v>0</v>
      </c>
      <c r="L266" s="30">
        <f>COUNTIFS('AT. MEDICAS 2024'!$A$9:$A$874,"10/11/2025",'AT. MEDICAS 2024'!$I$9:$I$874,B266)</f>
        <v>0</v>
      </c>
      <c r="M266" s="30">
        <f>COUNTIFS('AT. MEDICAS 2024'!$A$9:$A$874,"11/11/2025",'AT. MEDICAS 2024'!$I$9:$I$874,B266)</f>
        <v>0</v>
      </c>
      <c r="N266" s="30">
        <f>COUNTIFS('AT. MEDICAS 2024'!$A$9:$A$874,"12/11/2025",'AT. MEDICAS 2024'!$I$9:$I$874,B266)</f>
        <v>0</v>
      </c>
      <c r="O266" s="30">
        <f>COUNTIFS('AT. MEDICAS 2024'!$A$9:$A$874,"13/11/2025",'AT. MEDICAS 2024'!$I$9:$I$874,B266)</f>
        <v>0</v>
      </c>
      <c r="P266" s="30">
        <f>COUNTIFS('AT. MEDICAS 2024'!$A$9:$A$874,"14/11/2025",'AT. MEDICAS 2024'!$I$9:$I$874,B266)</f>
        <v>0</v>
      </c>
      <c r="Q266" s="30">
        <f>COUNTIFS('AT. MEDICAS 2024'!$A$9:$A$874,"15/11/2025",'AT. MEDICAS 2024'!$I$9:$I$874,B266)</f>
        <v>0</v>
      </c>
      <c r="R266" s="30">
        <f>COUNTIFS('AT. MEDICAS 2024'!$A$9:$A$874,"16/11/2025",'AT. MEDICAS 2024'!$I$9:$I$874,B266)</f>
        <v>0</v>
      </c>
      <c r="S266" s="30">
        <f>COUNTIFS('AT. MEDICAS 2024'!$A$9:$A$874,"17/11/2025",'AT. MEDICAS 2024'!$I$9:$I$874,B266)</f>
        <v>0</v>
      </c>
      <c r="T266" s="30">
        <f>COUNTIFS('AT. MEDICAS 2024'!$A$9:$A$874,"18/11/2025",'AT. MEDICAS 2024'!$I$9:$I$874,B266)</f>
        <v>0</v>
      </c>
      <c r="U266" s="30">
        <f>COUNTIFS('AT. MEDICAS 2024'!$A$9:$A$874,"19/11/2025",'AT. MEDICAS 2024'!$I$9:$I$874,B266)</f>
        <v>0</v>
      </c>
      <c r="V266" s="30">
        <f>COUNTIFS('AT. MEDICAS 2024'!$A$9:$A$874,"20/11/2025",'AT. MEDICAS 2024'!$I$9:$I$874,B266)</f>
        <v>0</v>
      </c>
      <c r="W266" s="30">
        <f>COUNTIFS('AT. MEDICAS 2024'!$A$9:$A$874,"21/11/2025",'AT. MEDICAS 2024'!$I$9:$I$874,B266)</f>
        <v>0</v>
      </c>
      <c r="X266" s="30">
        <f>COUNTIFS('AT. MEDICAS 2024'!$A$9:$A$874,"22/11/2025",'AT. MEDICAS 2024'!$I$9:$I$874,B266)</f>
        <v>0</v>
      </c>
      <c r="Y266" s="30">
        <f>COUNTIFS('AT. MEDICAS 2024'!$A$9:$A$874,"23/11/2025",'AT. MEDICAS 2024'!$I$9:$I$874,B266)</f>
        <v>0</v>
      </c>
      <c r="Z266" s="30">
        <f>COUNTIFS('AT. MEDICAS 2024'!$A$9:$A$874,"24/11/2025",'AT. MEDICAS 2024'!$I$9:$I$874,B266)</f>
        <v>0</v>
      </c>
      <c r="AA266" s="30">
        <f>COUNTIFS('AT. MEDICAS 2024'!$A$9:$A$874,"25/11/2025",'AT. MEDICAS 2024'!$I$9:$I$874,B266)</f>
        <v>0</v>
      </c>
      <c r="AB266" s="30">
        <f>COUNTIFS('AT. MEDICAS 2024'!$A$9:$A$874,"26/11/2025",'AT. MEDICAS 2024'!$I$9:$I$874,B266)</f>
        <v>0</v>
      </c>
      <c r="AC266" s="30">
        <f>COUNTIFS('AT. MEDICAS 2024'!$A$9:$A$874,"27/11/2025",'AT. MEDICAS 2024'!$I$9:$I$874,B266)</f>
        <v>0</v>
      </c>
      <c r="AD266" s="30">
        <f>COUNTIFS('AT. MEDICAS 2024'!$A$9:$A$874,"28/11/2025",'AT. MEDICAS 2024'!$I$9:$I$874,B266)</f>
        <v>0</v>
      </c>
      <c r="AE266" s="30">
        <f>COUNTIFS('AT. MEDICAS 2024'!$A$9:$A$874,"29/11/2025",'AT. MEDICAS 2024'!$I$9:$I$874,B266)</f>
        <v>0</v>
      </c>
      <c r="AF266" s="30">
        <f>COUNTIFS('AT. MEDICAS 2024'!$A$9:$A$874,"30/11/2025",'AT. MEDICAS 2024'!$I$9:$I$874,B266)</f>
        <v>0</v>
      </c>
      <c r="AG266" s="30"/>
      <c r="AH266" s="55">
        <f t="shared" si="31"/>
        <v>0</v>
      </c>
    </row>
    <row r="267" spans="1:34" ht="13.8" thickBot="1" x14ac:dyDescent="0.3">
      <c r="A267" s="41">
        <v>7</v>
      </c>
      <c r="B267" s="54" t="s">
        <v>36</v>
      </c>
      <c r="C267" s="30">
        <f>COUNTIFS('AT. MEDICAS 2024'!$A$9:$A$874,"01/11/2025",'AT. MEDICAS 2024'!$I$9:$I$874,B267)</f>
        <v>0</v>
      </c>
      <c r="D267" s="30">
        <f>COUNTIFS('AT. MEDICAS 2024'!$A$9:$A$874,"02/11/2025",'AT. MEDICAS 2024'!$I$9:$I$874,B267)</f>
        <v>0</v>
      </c>
      <c r="E267" s="30">
        <f>COUNTIFS('AT. MEDICAS 2024'!$A$9:$A$874,"03/11/2025",'AT. MEDICAS 2024'!$I$9:$I$874,B267)</f>
        <v>0</v>
      </c>
      <c r="F267" s="30">
        <f>COUNTIFS('AT. MEDICAS 2024'!$A$9:$A$874,"04/11/2025",'AT. MEDICAS 2024'!$I$9:$I$874,B267)</f>
        <v>0</v>
      </c>
      <c r="G267" s="30">
        <f>COUNTIFS('AT. MEDICAS 2024'!$A$9:$A$874,"05/11/2025",'AT. MEDICAS 2024'!$I$9:$I$874,B267)</f>
        <v>0</v>
      </c>
      <c r="H267" s="30">
        <f>COUNTIFS('AT. MEDICAS 2024'!$A$9:$A$874,"06/11/2025",'AT. MEDICAS 2024'!$I$9:$I$874,B267)</f>
        <v>0</v>
      </c>
      <c r="I267" s="30">
        <f>COUNTIFS('AT. MEDICAS 2024'!$A$9:$A$874,"07/11/2025",'AT. MEDICAS 2024'!$I$9:$I$874,B267)</f>
        <v>0</v>
      </c>
      <c r="J267" s="30">
        <f>COUNTIFS('AT. MEDICAS 2024'!$A$9:$A$874,"08/11/2025",'AT. MEDICAS 2024'!$I$9:$I$874,B267)</f>
        <v>0</v>
      </c>
      <c r="K267" s="30">
        <f>COUNTIFS('AT. MEDICAS 2024'!$A$9:$A$874,"09/11/2025",'AT. MEDICAS 2024'!$I$9:$I$874,B267)</f>
        <v>0</v>
      </c>
      <c r="L267" s="30">
        <f>COUNTIFS('AT. MEDICAS 2024'!$A$9:$A$874,"10/11/2025",'AT. MEDICAS 2024'!$I$9:$I$874,B267)</f>
        <v>0</v>
      </c>
      <c r="M267" s="30">
        <f>COUNTIFS('AT. MEDICAS 2024'!$A$9:$A$874,"11/11/2025",'AT. MEDICAS 2024'!$I$9:$I$874,B267)</f>
        <v>0</v>
      </c>
      <c r="N267" s="30">
        <f>COUNTIFS('AT. MEDICAS 2024'!$A$9:$A$874,"12/11/2025",'AT. MEDICAS 2024'!$I$9:$I$874,B267)</f>
        <v>0</v>
      </c>
      <c r="O267" s="30">
        <f>COUNTIFS('AT. MEDICAS 2024'!$A$9:$A$874,"13/11/2025",'AT. MEDICAS 2024'!$I$9:$I$874,B267)</f>
        <v>0</v>
      </c>
      <c r="P267" s="30">
        <f>COUNTIFS('AT. MEDICAS 2024'!$A$9:$A$874,"14/11/2025",'AT. MEDICAS 2024'!$I$9:$I$874,B267)</f>
        <v>0</v>
      </c>
      <c r="Q267" s="30">
        <f>COUNTIFS('AT. MEDICAS 2024'!$A$9:$A$874,"15/11/2025",'AT. MEDICAS 2024'!$I$9:$I$874,B267)</f>
        <v>0</v>
      </c>
      <c r="R267" s="30">
        <f>COUNTIFS('AT. MEDICAS 2024'!$A$9:$A$874,"16/11/2025",'AT. MEDICAS 2024'!$I$9:$I$874,B267)</f>
        <v>0</v>
      </c>
      <c r="S267" s="30">
        <f>COUNTIFS('AT. MEDICAS 2024'!$A$9:$A$874,"17/11/2025",'AT. MEDICAS 2024'!$I$9:$I$874,B267)</f>
        <v>0</v>
      </c>
      <c r="T267" s="30">
        <f>COUNTIFS('AT. MEDICAS 2024'!$A$9:$A$874,"18/11/2025",'AT. MEDICAS 2024'!$I$9:$I$874,B267)</f>
        <v>0</v>
      </c>
      <c r="U267" s="30">
        <f>COUNTIFS('AT. MEDICAS 2024'!$A$9:$A$874,"19/11/2025",'AT. MEDICAS 2024'!$I$9:$I$874,B267)</f>
        <v>0</v>
      </c>
      <c r="V267" s="30">
        <f>COUNTIFS('AT. MEDICAS 2024'!$A$9:$A$874,"20/11/2025",'AT. MEDICAS 2024'!$I$9:$I$874,B267)</f>
        <v>0</v>
      </c>
      <c r="W267" s="30">
        <f>COUNTIFS('AT. MEDICAS 2024'!$A$9:$A$874,"21/11/2025",'AT. MEDICAS 2024'!$I$9:$I$874,B267)</f>
        <v>0</v>
      </c>
      <c r="X267" s="30">
        <f>COUNTIFS('AT. MEDICAS 2024'!$A$9:$A$874,"22/11/2025",'AT. MEDICAS 2024'!$I$9:$I$874,B267)</f>
        <v>0</v>
      </c>
      <c r="Y267" s="30">
        <f>COUNTIFS('AT. MEDICAS 2024'!$A$9:$A$874,"23/11/2025",'AT. MEDICAS 2024'!$I$9:$I$874,B267)</f>
        <v>0</v>
      </c>
      <c r="Z267" s="30">
        <f>COUNTIFS('AT. MEDICAS 2024'!$A$9:$A$874,"24/11/2025",'AT. MEDICAS 2024'!$I$9:$I$874,B267)</f>
        <v>0</v>
      </c>
      <c r="AA267" s="30">
        <f>COUNTIFS('AT. MEDICAS 2024'!$A$9:$A$874,"25/11/2025",'AT. MEDICAS 2024'!$I$9:$I$874,B267)</f>
        <v>0</v>
      </c>
      <c r="AB267" s="30">
        <f>COUNTIFS('AT. MEDICAS 2024'!$A$9:$A$874,"26/11/2025",'AT. MEDICAS 2024'!$I$9:$I$874,B267)</f>
        <v>0</v>
      </c>
      <c r="AC267" s="30">
        <f>COUNTIFS('AT. MEDICAS 2024'!$A$9:$A$874,"27/11/2025",'AT. MEDICAS 2024'!$I$9:$I$874,B267)</f>
        <v>0</v>
      </c>
      <c r="AD267" s="30">
        <f>COUNTIFS('AT. MEDICAS 2024'!$A$9:$A$874,"28/11/2025",'AT. MEDICAS 2024'!$I$9:$I$874,B267)</f>
        <v>0</v>
      </c>
      <c r="AE267" s="30">
        <f>COUNTIFS('AT. MEDICAS 2024'!$A$9:$A$874,"29/11/2025",'AT. MEDICAS 2024'!$I$9:$I$874,B267)</f>
        <v>0</v>
      </c>
      <c r="AF267" s="30">
        <f>COUNTIFS('AT. MEDICAS 2024'!$A$9:$A$874,"30/11/2025",'AT. MEDICAS 2024'!$I$9:$I$874,B267)</f>
        <v>0</v>
      </c>
      <c r="AG267" s="30"/>
      <c r="AH267" s="55">
        <f t="shared" si="31"/>
        <v>0</v>
      </c>
    </row>
    <row r="268" spans="1:34" ht="13.8" thickBot="1" x14ac:dyDescent="0.3">
      <c r="A268" s="41">
        <v>8</v>
      </c>
      <c r="B268" s="54" t="s">
        <v>92</v>
      </c>
      <c r="C268" s="30">
        <f>COUNTIFS('AT. MEDICAS 2024'!$A$9:$A$874,"01/11/2025",'AT. MEDICAS 2024'!$I$9:$I$874,B268)</f>
        <v>0</v>
      </c>
      <c r="D268" s="30">
        <f>COUNTIFS('AT. MEDICAS 2024'!$A$9:$A$874,"02/11/2025",'AT. MEDICAS 2024'!$I$9:$I$874,B268)</f>
        <v>0</v>
      </c>
      <c r="E268" s="30">
        <f>COUNTIFS('AT. MEDICAS 2024'!$A$9:$A$874,"03/11/2025",'AT. MEDICAS 2024'!$I$9:$I$874,B268)</f>
        <v>0</v>
      </c>
      <c r="F268" s="30">
        <f>COUNTIFS('AT. MEDICAS 2024'!$A$9:$A$874,"04/11/2025",'AT. MEDICAS 2024'!$I$9:$I$874,B268)</f>
        <v>0</v>
      </c>
      <c r="G268" s="30">
        <f>COUNTIFS('AT. MEDICAS 2024'!$A$9:$A$874,"05/11/2025",'AT. MEDICAS 2024'!$I$9:$I$874,B268)</f>
        <v>0</v>
      </c>
      <c r="H268" s="30">
        <f>COUNTIFS('AT. MEDICAS 2024'!$A$9:$A$874,"06/11/2025",'AT. MEDICAS 2024'!$I$9:$I$874,B268)</f>
        <v>0</v>
      </c>
      <c r="I268" s="30">
        <f>COUNTIFS('AT. MEDICAS 2024'!$A$9:$A$874,"07/11/2025",'AT. MEDICAS 2024'!$I$9:$I$874,B268)</f>
        <v>0</v>
      </c>
      <c r="J268" s="30">
        <f>COUNTIFS('AT. MEDICAS 2024'!$A$9:$A$874,"08/11/2025",'AT. MEDICAS 2024'!$I$9:$I$874,B268)</f>
        <v>0</v>
      </c>
      <c r="K268" s="30">
        <f>COUNTIFS('AT. MEDICAS 2024'!$A$9:$A$874,"09/11/2025",'AT. MEDICAS 2024'!$I$9:$I$874,B268)</f>
        <v>0</v>
      </c>
      <c r="L268" s="30">
        <f>COUNTIFS('AT. MEDICAS 2024'!$A$9:$A$874,"10/11/2025",'AT. MEDICAS 2024'!$I$9:$I$874,B268)</f>
        <v>0</v>
      </c>
      <c r="M268" s="30">
        <f>COUNTIFS('AT. MEDICAS 2024'!$A$9:$A$874,"11/11/2025",'AT. MEDICAS 2024'!$I$9:$I$874,B268)</f>
        <v>0</v>
      </c>
      <c r="N268" s="30">
        <f>COUNTIFS('AT. MEDICAS 2024'!$A$9:$A$874,"12/11/2025",'AT. MEDICAS 2024'!$I$9:$I$874,B268)</f>
        <v>0</v>
      </c>
      <c r="O268" s="30">
        <f>COUNTIFS('AT. MEDICAS 2024'!$A$9:$A$874,"13/11/2025",'AT. MEDICAS 2024'!$I$9:$I$874,B268)</f>
        <v>0</v>
      </c>
      <c r="P268" s="30">
        <f>COUNTIFS('AT. MEDICAS 2024'!$A$9:$A$874,"14/11/2025",'AT. MEDICAS 2024'!$I$9:$I$874,B268)</f>
        <v>0</v>
      </c>
      <c r="Q268" s="30">
        <f>COUNTIFS('AT. MEDICAS 2024'!$A$9:$A$874,"15/11/2025",'AT. MEDICAS 2024'!$I$9:$I$874,B268)</f>
        <v>0</v>
      </c>
      <c r="R268" s="30">
        <f>COUNTIFS('AT. MEDICAS 2024'!$A$9:$A$874,"16/11/2025",'AT. MEDICAS 2024'!$I$9:$I$874,B268)</f>
        <v>0</v>
      </c>
      <c r="S268" s="30">
        <f>COUNTIFS('AT. MEDICAS 2024'!$A$9:$A$874,"17/11/2025",'AT. MEDICAS 2024'!$I$9:$I$874,B268)</f>
        <v>0</v>
      </c>
      <c r="T268" s="30">
        <f>COUNTIFS('AT. MEDICAS 2024'!$A$9:$A$874,"18/11/2025",'AT. MEDICAS 2024'!$I$9:$I$874,B268)</f>
        <v>0</v>
      </c>
      <c r="U268" s="30">
        <f>COUNTIFS('AT. MEDICAS 2024'!$A$9:$A$874,"19/11/2025",'AT. MEDICAS 2024'!$I$9:$I$874,B268)</f>
        <v>0</v>
      </c>
      <c r="V268" s="30">
        <f>COUNTIFS('AT. MEDICAS 2024'!$A$9:$A$874,"20/11/2025",'AT. MEDICAS 2024'!$I$9:$I$874,B268)</f>
        <v>0</v>
      </c>
      <c r="W268" s="30">
        <f>COUNTIFS('AT. MEDICAS 2024'!$A$9:$A$874,"21/11/2025",'AT. MEDICAS 2024'!$I$9:$I$874,B268)</f>
        <v>0</v>
      </c>
      <c r="X268" s="30">
        <f>COUNTIFS('AT. MEDICAS 2024'!$A$9:$A$874,"22/11/2025",'AT. MEDICAS 2024'!$I$9:$I$874,B268)</f>
        <v>0</v>
      </c>
      <c r="Y268" s="30">
        <f>COUNTIFS('AT. MEDICAS 2024'!$A$9:$A$874,"23/11/2025",'AT. MEDICAS 2024'!$I$9:$I$874,B268)</f>
        <v>0</v>
      </c>
      <c r="Z268" s="30">
        <f>COUNTIFS('AT. MEDICAS 2024'!$A$9:$A$874,"24/11/2025",'AT. MEDICAS 2024'!$I$9:$I$874,B268)</f>
        <v>0</v>
      </c>
      <c r="AA268" s="30">
        <f>COUNTIFS('AT. MEDICAS 2024'!$A$9:$A$874,"25/11/2025",'AT. MEDICAS 2024'!$I$9:$I$874,B268)</f>
        <v>0</v>
      </c>
      <c r="AB268" s="30">
        <f>COUNTIFS('AT. MEDICAS 2024'!$A$9:$A$874,"26/11/2025",'AT. MEDICAS 2024'!$I$9:$I$874,B268)</f>
        <v>0</v>
      </c>
      <c r="AC268" s="30">
        <f>COUNTIFS('AT. MEDICAS 2024'!$A$9:$A$874,"27/11/2025",'AT. MEDICAS 2024'!$I$9:$I$874,B268)</f>
        <v>0</v>
      </c>
      <c r="AD268" s="30">
        <f>COUNTIFS('AT. MEDICAS 2024'!$A$9:$A$874,"28/11/2025",'AT. MEDICAS 2024'!$I$9:$I$874,B268)</f>
        <v>0</v>
      </c>
      <c r="AE268" s="30">
        <f>COUNTIFS('AT. MEDICAS 2024'!$A$9:$A$874,"29/11/2025",'AT. MEDICAS 2024'!$I$9:$I$874,B268)</f>
        <v>0</v>
      </c>
      <c r="AF268" s="30">
        <f>COUNTIFS('AT. MEDICAS 2024'!$A$9:$A$874,"30/11/2025",'AT. MEDICAS 2024'!$I$9:$I$874,B268)</f>
        <v>0</v>
      </c>
      <c r="AG268" s="30"/>
      <c r="AH268" s="55">
        <f t="shared" si="31"/>
        <v>0</v>
      </c>
    </row>
    <row r="269" spans="1:34" ht="13.8" thickBot="1" x14ac:dyDescent="0.3">
      <c r="A269" s="41">
        <v>9</v>
      </c>
      <c r="B269" s="54" t="s">
        <v>188</v>
      </c>
      <c r="C269" s="30">
        <f>COUNTIFS('AT. MEDICAS 2024'!$A$9:$A$874,"01/11/2025",'AT. MEDICAS 2024'!$I$9:$I$874,B269)</f>
        <v>0</v>
      </c>
      <c r="D269" s="30">
        <f>COUNTIFS('AT. MEDICAS 2024'!$A$9:$A$874,"02/11/2025",'AT. MEDICAS 2024'!$I$9:$I$874,B269)</f>
        <v>0</v>
      </c>
      <c r="E269" s="30">
        <f>COUNTIFS('AT. MEDICAS 2024'!$A$9:$A$874,"03/11/2025",'AT. MEDICAS 2024'!$I$9:$I$874,B269)</f>
        <v>0</v>
      </c>
      <c r="F269" s="30">
        <f>COUNTIFS('AT. MEDICAS 2024'!$A$9:$A$874,"04/11/2025",'AT. MEDICAS 2024'!$I$9:$I$874,B269)</f>
        <v>0</v>
      </c>
      <c r="G269" s="30">
        <f>COUNTIFS('AT. MEDICAS 2024'!$A$9:$A$874,"05/11/2025",'AT. MEDICAS 2024'!$I$9:$I$874,B269)</f>
        <v>0</v>
      </c>
      <c r="H269" s="30">
        <f>COUNTIFS('AT. MEDICAS 2024'!$A$9:$A$874,"06/11/2025",'AT. MEDICAS 2024'!$I$9:$I$874,B269)</f>
        <v>0</v>
      </c>
      <c r="I269" s="30">
        <f>COUNTIFS('AT. MEDICAS 2024'!$A$9:$A$874,"07/11/2025",'AT. MEDICAS 2024'!$I$9:$I$874,B269)</f>
        <v>0</v>
      </c>
      <c r="J269" s="30">
        <f>COUNTIFS('AT. MEDICAS 2024'!$A$9:$A$874,"08/11/2025",'AT. MEDICAS 2024'!$I$9:$I$874,B269)</f>
        <v>0</v>
      </c>
      <c r="K269" s="30">
        <f>COUNTIFS('AT. MEDICAS 2024'!$A$9:$A$874,"09/11/2025",'AT. MEDICAS 2024'!$I$9:$I$874,B269)</f>
        <v>0</v>
      </c>
      <c r="L269" s="30">
        <f>COUNTIFS('AT. MEDICAS 2024'!$A$9:$A$874,"10/11/2025",'AT. MEDICAS 2024'!$I$9:$I$874,B269)</f>
        <v>0</v>
      </c>
      <c r="M269" s="30">
        <f>COUNTIFS('AT. MEDICAS 2024'!$A$9:$A$874,"11/11/2025",'AT. MEDICAS 2024'!$I$9:$I$874,B269)</f>
        <v>0</v>
      </c>
      <c r="N269" s="30">
        <f>COUNTIFS('AT. MEDICAS 2024'!$A$9:$A$874,"12/11/2025",'AT. MEDICAS 2024'!$I$9:$I$874,B269)</f>
        <v>0</v>
      </c>
      <c r="O269" s="30">
        <f>COUNTIFS('AT. MEDICAS 2024'!$A$9:$A$874,"13/11/2025",'AT. MEDICAS 2024'!$I$9:$I$874,B269)</f>
        <v>0</v>
      </c>
      <c r="P269" s="30">
        <f>COUNTIFS('AT. MEDICAS 2024'!$A$9:$A$874,"14/11/2025",'AT. MEDICAS 2024'!$I$9:$I$874,B269)</f>
        <v>0</v>
      </c>
      <c r="Q269" s="30">
        <f>COUNTIFS('AT. MEDICAS 2024'!$A$9:$A$874,"15/11/2025",'AT. MEDICAS 2024'!$I$9:$I$874,B269)</f>
        <v>0</v>
      </c>
      <c r="R269" s="30">
        <f>COUNTIFS('AT. MEDICAS 2024'!$A$9:$A$874,"16/11/2025",'AT. MEDICAS 2024'!$I$9:$I$874,B269)</f>
        <v>0</v>
      </c>
      <c r="S269" s="30">
        <f>COUNTIFS('AT. MEDICAS 2024'!$A$9:$A$874,"17/11/2025",'AT. MEDICAS 2024'!$I$9:$I$874,B269)</f>
        <v>0</v>
      </c>
      <c r="T269" s="30">
        <f>COUNTIFS('AT. MEDICAS 2024'!$A$9:$A$874,"18/11/2025",'AT. MEDICAS 2024'!$I$9:$I$874,B269)</f>
        <v>0</v>
      </c>
      <c r="U269" s="30">
        <f>COUNTIFS('AT. MEDICAS 2024'!$A$9:$A$874,"19/11/2025",'AT. MEDICAS 2024'!$I$9:$I$874,B269)</f>
        <v>0</v>
      </c>
      <c r="V269" s="30">
        <f>COUNTIFS('AT. MEDICAS 2024'!$A$9:$A$874,"20/11/2025",'AT. MEDICAS 2024'!$I$9:$I$874,B269)</f>
        <v>0</v>
      </c>
      <c r="W269" s="30">
        <f>COUNTIFS('AT. MEDICAS 2024'!$A$9:$A$874,"21/11/2025",'AT. MEDICAS 2024'!$I$9:$I$874,B269)</f>
        <v>0</v>
      </c>
      <c r="X269" s="30">
        <f>COUNTIFS('AT. MEDICAS 2024'!$A$9:$A$874,"22/11/2025",'AT. MEDICAS 2024'!$I$9:$I$874,B269)</f>
        <v>0</v>
      </c>
      <c r="Y269" s="30">
        <f>COUNTIFS('AT. MEDICAS 2024'!$A$9:$A$874,"23/11/2025",'AT. MEDICAS 2024'!$I$9:$I$874,B269)</f>
        <v>0</v>
      </c>
      <c r="Z269" s="30">
        <f>COUNTIFS('AT. MEDICAS 2024'!$A$9:$A$874,"24/11/2025",'AT. MEDICAS 2024'!$I$9:$I$874,B269)</f>
        <v>0</v>
      </c>
      <c r="AA269" s="30">
        <f>COUNTIFS('AT. MEDICAS 2024'!$A$9:$A$874,"25/11/2025",'AT. MEDICAS 2024'!$I$9:$I$874,B269)</f>
        <v>0</v>
      </c>
      <c r="AB269" s="30">
        <f>COUNTIFS('AT. MEDICAS 2024'!$A$9:$A$874,"26/11/2025",'AT. MEDICAS 2024'!$I$9:$I$874,B269)</f>
        <v>0</v>
      </c>
      <c r="AC269" s="30">
        <f>COUNTIFS('AT. MEDICAS 2024'!$A$9:$A$874,"27/11/2025",'AT. MEDICAS 2024'!$I$9:$I$874,B269)</f>
        <v>0</v>
      </c>
      <c r="AD269" s="30">
        <f>COUNTIFS('AT. MEDICAS 2024'!$A$9:$A$874,"28/11/2025",'AT. MEDICAS 2024'!$I$9:$I$874,B269)</f>
        <v>0</v>
      </c>
      <c r="AE269" s="30">
        <f>COUNTIFS('AT. MEDICAS 2024'!$A$9:$A$874,"29/11/2025",'AT. MEDICAS 2024'!$I$9:$I$874,B269)</f>
        <v>0</v>
      </c>
      <c r="AF269" s="30">
        <f>COUNTIFS('AT. MEDICAS 2024'!$A$9:$A$874,"30/11/2025",'AT. MEDICAS 2024'!$I$9:$I$874,B269)</f>
        <v>0</v>
      </c>
      <c r="AG269" s="30"/>
      <c r="AH269" s="55">
        <f t="shared" si="31"/>
        <v>0</v>
      </c>
    </row>
    <row r="270" spans="1:34" ht="13.8" thickBot="1" x14ac:dyDescent="0.3">
      <c r="A270" s="41">
        <v>10</v>
      </c>
      <c r="B270" s="54" t="s">
        <v>97</v>
      </c>
      <c r="C270" s="30">
        <f>COUNTIFS('AT. MEDICAS 2024'!$A$9:$A$874,"01/11/2025",'AT. MEDICAS 2024'!$I$9:$I$874,B270)</f>
        <v>0</v>
      </c>
      <c r="D270" s="30">
        <f>COUNTIFS('AT. MEDICAS 2024'!$A$9:$A$874,"02/11/2025",'AT. MEDICAS 2024'!$I$9:$I$874,B270)</f>
        <v>0</v>
      </c>
      <c r="E270" s="30">
        <f>COUNTIFS('AT. MEDICAS 2024'!$A$9:$A$874,"03/11/2025",'AT. MEDICAS 2024'!$I$9:$I$874,B270)</f>
        <v>0</v>
      </c>
      <c r="F270" s="30">
        <f>COUNTIFS('AT. MEDICAS 2024'!$A$9:$A$874,"04/11/2025",'AT. MEDICAS 2024'!$I$9:$I$874,B270)</f>
        <v>0</v>
      </c>
      <c r="G270" s="30">
        <f>COUNTIFS('AT. MEDICAS 2024'!$A$9:$A$874,"05/11/2025",'AT. MEDICAS 2024'!$I$9:$I$874,B270)</f>
        <v>0</v>
      </c>
      <c r="H270" s="30">
        <f>COUNTIFS('AT. MEDICAS 2024'!$A$9:$A$874,"06/11/2025",'AT. MEDICAS 2024'!$I$9:$I$874,B270)</f>
        <v>0</v>
      </c>
      <c r="I270" s="30">
        <f>COUNTIFS('AT. MEDICAS 2024'!$A$9:$A$874,"07/11/2025",'AT. MEDICAS 2024'!$I$9:$I$874,B270)</f>
        <v>0</v>
      </c>
      <c r="J270" s="30">
        <f>COUNTIFS('AT. MEDICAS 2024'!$A$9:$A$874,"08/11/2025",'AT. MEDICAS 2024'!$I$9:$I$874,B270)</f>
        <v>0</v>
      </c>
      <c r="K270" s="30">
        <f>COUNTIFS('AT. MEDICAS 2024'!$A$9:$A$874,"09/11/2025",'AT. MEDICAS 2024'!$I$9:$I$874,B270)</f>
        <v>0</v>
      </c>
      <c r="L270" s="30">
        <f>COUNTIFS('AT. MEDICAS 2024'!$A$9:$A$874,"10/11/2025",'AT. MEDICAS 2024'!$I$9:$I$874,B270)</f>
        <v>0</v>
      </c>
      <c r="M270" s="30">
        <f>COUNTIFS('AT. MEDICAS 2024'!$A$9:$A$874,"11/11/2025",'AT. MEDICAS 2024'!$I$9:$I$874,B270)</f>
        <v>0</v>
      </c>
      <c r="N270" s="30">
        <f>COUNTIFS('AT. MEDICAS 2024'!$A$9:$A$874,"12/11/2025",'AT. MEDICAS 2024'!$I$9:$I$874,B270)</f>
        <v>0</v>
      </c>
      <c r="O270" s="30">
        <f>COUNTIFS('AT. MEDICAS 2024'!$A$9:$A$874,"13/11/2025",'AT. MEDICAS 2024'!$I$9:$I$874,B270)</f>
        <v>0</v>
      </c>
      <c r="P270" s="30">
        <f>COUNTIFS('AT. MEDICAS 2024'!$A$9:$A$874,"14/11/2025",'AT. MEDICAS 2024'!$I$9:$I$874,B270)</f>
        <v>0</v>
      </c>
      <c r="Q270" s="30">
        <f>COUNTIFS('AT. MEDICAS 2024'!$A$9:$A$874,"15/11/2025",'AT. MEDICAS 2024'!$I$9:$I$874,B270)</f>
        <v>0</v>
      </c>
      <c r="R270" s="30">
        <f>COUNTIFS('AT. MEDICAS 2024'!$A$9:$A$874,"16/11/2025",'AT. MEDICAS 2024'!$I$9:$I$874,B270)</f>
        <v>0</v>
      </c>
      <c r="S270" s="30">
        <f>COUNTIFS('AT. MEDICAS 2024'!$A$9:$A$874,"17/11/2025",'AT. MEDICAS 2024'!$I$9:$I$874,B270)</f>
        <v>0</v>
      </c>
      <c r="T270" s="30">
        <f>COUNTIFS('AT. MEDICAS 2024'!$A$9:$A$874,"18/11/2025",'AT. MEDICAS 2024'!$I$9:$I$874,B270)</f>
        <v>0</v>
      </c>
      <c r="U270" s="30">
        <f>COUNTIFS('AT. MEDICAS 2024'!$A$9:$A$874,"19/11/2025",'AT. MEDICAS 2024'!$I$9:$I$874,B270)</f>
        <v>0</v>
      </c>
      <c r="V270" s="30">
        <f>COUNTIFS('AT. MEDICAS 2024'!$A$9:$A$874,"20/11/2025",'AT. MEDICAS 2024'!$I$9:$I$874,B270)</f>
        <v>0</v>
      </c>
      <c r="W270" s="30">
        <f>COUNTIFS('AT. MEDICAS 2024'!$A$9:$A$874,"21/11/2025",'AT. MEDICAS 2024'!$I$9:$I$874,B270)</f>
        <v>0</v>
      </c>
      <c r="X270" s="30">
        <f>COUNTIFS('AT. MEDICAS 2024'!$A$9:$A$874,"22/11/2025",'AT. MEDICAS 2024'!$I$9:$I$874,B270)</f>
        <v>0</v>
      </c>
      <c r="Y270" s="30">
        <f>COUNTIFS('AT. MEDICAS 2024'!$A$9:$A$874,"23/11/2025",'AT. MEDICAS 2024'!$I$9:$I$874,B270)</f>
        <v>0</v>
      </c>
      <c r="Z270" s="30">
        <f>COUNTIFS('AT. MEDICAS 2024'!$A$9:$A$874,"24/11/2025",'AT. MEDICAS 2024'!$I$9:$I$874,B270)</f>
        <v>0</v>
      </c>
      <c r="AA270" s="30">
        <f>COUNTIFS('AT. MEDICAS 2024'!$A$9:$A$874,"25/11/2025",'AT. MEDICAS 2024'!$I$9:$I$874,B270)</f>
        <v>0</v>
      </c>
      <c r="AB270" s="30">
        <f>COUNTIFS('AT. MEDICAS 2024'!$A$9:$A$874,"26/11/2025",'AT. MEDICAS 2024'!$I$9:$I$874,B270)</f>
        <v>0</v>
      </c>
      <c r="AC270" s="30">
        <f>COUNTIFS('AT. MEDICAS 2024'!$A$9:$A$874,"27/11/2025",'AT. MEDICAS 2024'!$I$9:$I$874,B270)</f>
        <v>0</v>
      </c>
      <c r="AD270" s="30">
        <f>COUNTIFS('AT. MEDICAS 2024'!$A$9:$A$874,"28/11/2025",'AT. MEDICAS 2024'!$I$9:$I$874,B270)</f>
        <v>0</v>
      </c>
      <c r="AE270" s="30">
        <f>COUNTIFS('AT. MEDICAS 2024'!$A$9:$A$874,"29/11/2025",'AT. MEDICAS 2024'!$I$9:$I$874,B270)</f>
        <v>0</v>
      </c>
      <c r="AF270" s="30">
        <f>COUNTIFS('AT. MEDICAS 2024'!$A$9:$A$874,"30/11/2025",'AT. MEDICAS 2024'!$I$9:$I$874,B270)</f>
        <v>0</v>
      </c>
      <c r="AG270" s="30"/>
      <c r="AH270" s="55">
        <f t="shared" si="31"/>
        <v>0</v>
      </c>
    </row>
    <row r="271" spans="1:34" ht="13.8" thickBot="1" x14ac:dyDescent="0.3">
      <c r="A271" s="41">
        <v>11</v>
      </c>
      <c r="B271" s="54" t="s">
        <v>21</v>
      </c>
      <c r="C271" s="30">
        <f>COUNTIFS('AT. MEDICAS 2024'!$A$9:$A$874,"01/11/2025",'AT. MEDICAS 2024'!$I$9:$I$874,B271)</f>
        <v>0</v>
      </c>
      <c r="D271" s="30">
        <f>COUNTIFS('AT. MEDICAS 2024'!$A$9:$A$874,"02/11/2025",'AT. MEDICAS 2024'!$I$9:$I$874,B271)</f>
        <v>0</v>
      </c>
      <c r="E271" s="30">
        <f>COUNTIFS('AT. MEDICAS 2024'!$A$9:$A$874,"03/11/2025",'AT. MEDICAS 2024'!$I$9:$I$874,B271)</f>
        <v>0</v>
      </c>
      <c r="F271" s="30">
        <f>COUNTIFS('AT. MEDICAS 2024'!$A$9:$A$874,"04/11/2025",'AT. MEDICAS 2024'!$I$9:$I$874,B271)</f>
        <v>0</v>
      </c>
      <c r="G271" s="30">
        <f>COUNTIFS('AT. MEDICAS 2024'!$A$9:$A$874,"05/11/2025",'AT. MEDICAS 2024'!$I$9:$I$874,B271)</f>
        <v>0</v>
      </c>
      <c r="H271" s="30">
        <f>COUNTIFS('AT. MEDICAS 2024'!$A$9:$A$874,"06/11/2025",'AT. MEDICAS 2024'!$I$9:$I$874,B271)</f>
        <v>0</v>
      </c>
      <c r="I271" s="30">
        <f>COUNTIFS('AT. MEDICAS 2024'!$A$9:$A$874,"07/11/2025",'AT. MEDICAS 2024'!$I$9:$I$874,B271)</f>
        <v>0</v>
      </c>
      <c r="J271" s="30">
        <f>COUNTIFS('AT. MEDICAS 2024'!$A$9:$A$874,"08/11/2025",'AT. MEDICAS 2024'!$I$9:$I$874,B271)</f>
        <v>0</v>
      </c>
      <c r="K271" s="30">
        <f>COUNTIFS('AT. MEDICAS 2024'!$A$9:$A$874,"09/11/2025",'AT. MEDICAS 2024'!$I$9:$I$874,B271)</f>
        <v>0</v>
      </c>
      <c r="L271" s="30">
        <f>COUNTIFS('AT. MEDICAS 2024'!$A$9:$A$874,"10/11/2025",'AT. MEDICAS 2024'!$I$9:$I$874,B271)</f>
        <v>0</v>
      </c>
      <c r="M271" s="30">
        <f>COUNTIFS('AT. MEDICAS 2024'!$A$9:$A$874,"11/11/2025",'AT. MEDICAS 2024'!$I$9:$I$874,B271)</f>
        <v>0</v>
      </c>
      <c r="N271" s="30">
        <f>COUNTIFS('AT. MEDICAS 2024'!$A$9:$A$874,"12/11/2025",'AT. MEDICAS 2024'!$I$9:$I$874,B271)</f>
        <v>0</v>
      </c>
      <c r="O271" s="30">
        <f>COUNTIFS('AT. MEDICAS 2024'!$A$9:$A$874,"13/11/2025",'AT. MEDICAS 2024'!$I$9:$I$874,B271)</f>
        <v>0</v>
      </c>
      <c r="P271" s="30">
        <f>COUNTIFS('AT. MEDICAS 2024'!$A$9:$A$874,"14/11/2025",'AT. MEDICAS 2024'!$I$9:$I$874,B271)</f>
        <v>0</v>
      </c>
      <c r="Q271" s="30">
        <f>COUNTIFS('AT. MEDICAS 2024'!$A$9:$A$874,"15/11/2025",'AT. MEDICAS 2024'!$I$9:$I$874,B271)</f>
        <v>0</v>
      </c>
      <c r="R271" s="30">
        <f>COUNTIFS('AT. MEDICAS 2024'!$A$9:$A$874,"16/11/2025",'AT. MEDICAS 2024'!$I$9:$I$874,B271)</f>
        <v>0</v>
      </c>
      <c r="S271" s="30">
        <f>COUNTIFS('AT. MEDICAS 2024'!$A$9:$A$874,"17/11/2025",'AT. MEDICAS 2024'!$I$9:$I$874,B271)</f>
        <v>0</v>
      </c>
      <c r="T271" s="30">
        <f>COUNTIFS('AT. MEDICAS 2024'!$A$9:$A$874,"18/11/2025",'AT. MEDICAS 2024'!$I$9:$I$874,B271)</f>
        <v>0</v>
      </c>
      <c r="U271" s="30">
        <f>COUNTIFS('AT. MEDICAS 2024'!$A$9:$A$874,"19/11/2025",'AT. MEDICAS 2024'!$I$9:$I$874,B271)</f>
        <v>0</v>
      </c>
      <c r="V271" s="30">
        <f>COUNTIFS('AT. MEDICAS 2024'!$A$9:$A$874,"20/11/2025",'AT. MEDICAS 2024'!$I$9:$I$874,B271)</f>
        <v>0</v>
      </c>
      <c r="W271" s="30">
        <f>COUNTIFS('AT. MEDICAS 2024'!$A$9:$A$874,"21/11/2025",'AT. MEDICAS 2024'!$I$9:$I$874,B271)</f>
        <v>0</v>
      </c>
      <c r="X271" s="30">
        <f>COUNTIFS('AT. MEDICAS 2024'!$A$9:$A$874,"22/11/2025",'AT. MEDICAS 2024'!$I$9:$I$874,B271)</f>
        <v>0</v>
      </c>
      <c r="Y271" s="30">
        <f>COUNTIFS('AT. MEDICAS 2024'!$A$9:$A$874,"23/11/2025",'AT. MEDICAS 2024'!$I$9:$I$874,B271)</f>
        <v>0</v>
      </c>
      <c r="Z271" s="30">
        <f>COUNTIFS('AT. MEDICAS 2024'!$A$9:$A$874,"24/11/2025",'AT. MEDICAS 2024'!$I$9:$I$874,B271)</f>
        <v>0</v>
      </c>
      <c r="AA271" s="30">
        <f>COUNTIFS('AT. MEDICAS 2024'!$A$9:$A$874,"25/11/2025",'AT. MEDICAS 2024'!$I$9:$I$874,B271)</f>
        <v>0</v>
      </c>
      <c r="AB271" s="30">
        <f>COUNTIFS('AT. MEDICAS 2024'!$A$9:$A$874,"26/11/2025",'AT. MEDICAS 2024'!$I$9:$I$874,B271)</f>
        <v>0</v>
      </c>
      <c r="AC271" s="30">
        <f>COUNTIFS('AT. MEDICAS 2024'!$A$9:$A$874,"27/11/2025",'AT. MEDICAS 2024'!$I$9:$I$874,B271)</f>
        <v>0</v>
      </c>
      <c r="AD271" s="30">
        <f>COUNTIFS('AT. MEDICAS 2024'!$A$9:$A$874,"28/11/2025",'AT. MEDICAS 2024'!$I$9:$I$874,B271)</f>
        <v>0</v>
      </c>
      <c r="AE271" s="30">
        <f>COUNTIFS('AT. MEDICAS 2024'!$A$9:$A$874,"29/11/2025",'AT. MEDICAS 2024'!$I$9:$I$874,B271)</f>
        <v>0</v>
      </c>
      <c r="AF271" s="30">
        <f>COUNTIFS('AT. MEDICAS 2024'!$A$9:$A$874,"30/11/2025",'AT. MEDICAS 2024'!$I$9:$I$874,B271)</f>
        <v>0</v>
      </c>
      <c r="AG271" s="30"/>
      <c r="AH271" s="55">
        <f t="shared" si="31"/>
        <v>0</v>
      </c>
    </row>
    <row r="272" spans="1:34" ht="13.8" thickBot="1" x14ac:dyDescent="0.3">
      <c r="A272" s="41">
        <v>12</v>
      </c>
      <c r="B272" s="54" t="s">
        <v>23</v>
      </c>
      <c r="C272" s="30">
        <f>COUNTIFS('AT. MEDICAS 2024'!$A$9:$A$874,"01/11/2025",'AT. MEDICAS 2024'!$I$9:$I$874,B272)</f>
        <v>0</v>
      </c>
      <c r="D272" s="30">
        <f>COUNTIFS('AT. MEDICAS 2024'!$A$9:$A$874,"02/11/2025",'AT. MEDICAS 2024'!$I$9:$I$874,B272)</f>
        <v>0</v>
      </c>
      <c r="E272" s="30">
        <f>COUNTIFS('AT. MEDICAS 2024'!$A$9:$A$874,"03/11/2025",'AT. MEDICAS 2024'!$I$9:$I$874,B272)</f>
        <v>0</v>
      </c>
      <c r="F272" s="30">
        <f>COUNTIFS('AT. MEDICAS 2024'!$A$9:$A$874,"04/11/2025",'AT. MEDICAS 2024'!$I$9:$I$874,B272)</f>
        <v>0</v>
      </c>
      <c r="G272" s="30">
        <f>COUNTIFS('AT. MEDICAS 2024'!$A$9:$A$874,"05/11/2025",'AT. MEDICAS 2024'!$I$9:$I$874,B272)</f>
        <v>0</v>
      </c>
      <c r="H272" s="30">
        <f>COUNTIFS('AT. MEDICAS 2024'!$A$9:$A$874,"06/11/2025",'AT. MEDICAS 2024'!$I$9:$I$874,B272)</f>
        <v>0</v>
      </c>
      <c r="I272" s="30">
        <f>COUNTIFS('AT. MEDICAS 2024'!$A$9:$A$874,"07/11/2025",'AT. MEDICAS 2024'!$I$9:$I$874,B272)</f>
        <v>0</v>
      </c>
      <c r="J272" s="30">
        <f>COUNTIFS('AT. MEDICAS 2024'!$A$9:$A$874,"08/11/2025",'AT. MEDICAS 2024'!$I$9:$I$874,B272)</f>
        <v>0</v>
      </c>
      <c r="K272" s="30">
        <f>COUNTIFS('AT. MEDICAS 2024'!$A$9:$A$874,"09/11/2025",'AT. MEDICAS 2024'!$I$9:$I$874,B272)</f>
        <v>0</v>
      </c>
      <c r="L272" s="30">
        <f>COUNTIFS('AT. MEDICAS 2024'!$A$9:$A$874,"10/11/2025",'AT. MEDICAS 2024'!$I$9:$I$874,B272)</f>
        <v>0</v>
      </c>
      <c r="M272" s="30">
        <f>COUNTIFS('AT. MEDICAS 2024'!$A$9:$A$874,"11/11/2025",'AT. MEDICAS 2024'!$I$9:$I$874,B272)</f>
        <v>0</v>
      </c>
      <c r="N272" s="30">
        <f>COUNTIFS('AT. MEDICAS 2024'!$A$9:$A$874,"12/11/2025",'AT. MEDICAS 2024'!$I$9:$I$874,B272)</f>
        <v>0</v>
      </c>
      <c r="O272" s="30">
        <f>COUNTIFS('AT. MEDICAS 2024'!$A$9:$A$874,"13/11/2025",'AT. MEDICAS 2024'!$I$9:$I$874,B272)</f>
        <v>0</v>
      </c>
      <c r="P272" s="30">
        <f>COUNTIFS('AT. MEDICAS 2024'!$A$9:$A$874,"14/11/2025",'AT. MEDICAS 2024'!$I$9:$I$874,B272)</f>
        <v>0</v>
      </c>
      <c r="Q272" s="30">
        <f>COUNTIFS('AT. MEDICAS 2024'!$A$9:$A$874,"15/11/2025",'AT. MEDICAS 2024'!$I$9:$I$874,B272)</f>
        <v>0</v>
      </c>
      <c r="R272" s="30">
        <f>COUNTIFS('AT. MEDICAS 2024'!$A$9:$A$874,"16/11/2025",'AT. MEDICAS 2024'!$I$9:$I$874,B272)</f>
        <v>0</v>
      </c>
      <c r="S272" s="30">
        <f>COUNTIFS('AT. MEDICAS 2024'!$A$9:$A$874,"17/11/2025",'AT. MEDICAS 2024'!$I$9:$I$874,B272)</f>
        <v>0</v>
      </c>
      <c r="T272" s="30">
        <f>COUNTIFS('AT. MEDICAS 2024'!$A$9:$A$874,"18/11/2025",'AT. MEDICAS 2024'!$I$9:$I$874,B272)</f>
        <v>0</v>
      </c>
      <c r="U272" s="30">
        <f>COUNTIFS('AT. MEDICAS 2024'!$A$9:$A$874,"19/11/2025",'AT. MEDICAS 2024'!$I$9:$I$874,B272)</f>
        <v>0</v>
      </c>
      <c r="V272" s="30">
        <f>COUNTIFS('AT. MEDICAS 2024'!$A$9:$A$874,"20/11/2025",'AT. MEDICAS 2024'!$I$9:$I$874,B272)</f>
        <v>0</v>
      </c>
      <c r="W272" s="30">
        <f>COUNTIFS('AT. MEDICAS 2024'!$A$9:$A$874,"21/11/2025",'AT. MEDICAS 2024'!$I$9:$I$874,B272)</f>
        <v>0</v>
      </c>
      <c r="X272" s="30">
        <f>COUNTIFS('AT. MEDICAS 2024'!$A$9:$A$874,"22/11/2025",'AT. MEDICAS 2024'!$I$9:$I$874,B272)</f>
        <v>0</v>
      </c>
      <c r="Y272" s="30">
        <f>COUNTIFS('AT. MEDICAS 2024'!$A$9:$A$874,"23/11/2025",'AT. MEDICAS 2024'!$I$9:$I$874,B272)</f>
        <v>0</v>
      </c>
      <c r="Z272" s="30">
        <f>COUNTIFS('AT. MEDICAS 2024'!$A$9:$A$874,"24/11/2025",'AT. MEDICAS 2024'!$I$9:$I$874,B272)</f>
        <v>0</v>
      </c>
      <c r="AA272" s="30">
        <f>COUNTIFS('AT. MEDICAS 2024'!$A$9:$A$874,"25/11/2025",'AT. MEDICAS 2024'!$I$9:$I$874,B272)</f>
        <v>0</v>
      </c>
      <c r="AB272" s="30">
        <f>COUNTIFS('AT. MEDICAS 2024'!$A$9:$A$874,"26/11/2025",'AT. MEDICAS 2024'!$I$9:$I$874,B272)</f>
        <v>0</v>
      </c>
      <c r="AC272" s="30">
        <f>COUNTIFS('AT. MEDICAS 2024'!$A$9:$A$874,"27/11/2025",'AT. MEDICAS 2024'!$I$9:$I$874,B272)</f>
        <v>0</v>
      </c>
      <c r="AD272" s="30">
        <f>COUNTIFS('AT. MEDICAS 2024'!$A$9:$A$874,"28/11/2025",'AT. MEDICAS 2024'!$I$9:$I$874,B272)</f>
        <v>0</v>
      </c>
      <c r="AE272" s="30">
        <f>COUNTIFS('AT. MEDICAS 2024'!$A$9:$A$874,"29/11/2025",'AT. MEDICAS 2024'!$I$9:$I$874,B272)</f>
        <v>0</v>
      </c>
      <c r="AF272" s="30">
        <f>COUNTIFS('AT. MEDICAS 2024'!$A$9:$A$874,"30/11/2025",'AT. MEDICAS 2024'!$I$9:$I$874,B272)</f>
        <v>0</v>
      </c>
      <c r="AG272" s="30"/>
      <c r="AH272" s="55">
        <f t="shared" si="31"/>
        <v>0</v>
      </c>
    </row>
    <row r="273" spans="1:34" ht="13.8" thickBot="1" x14ac:dyDescent="0.3">
      <c r="A273" s="41">
        <v>13</v>
      </c>
      <c r="B273" s="54" t="s">
        <v>57</v>
      </c>
      <c r="C273" s="30">
        <f>COUNTIFS('AT. MEDICAS 2024'!$A$9:$A$874,"01/11/2025",'AT. MEDICAS 2024'!$I$9:$I$874,B273)</f>
        <v>0</v>
      </c>
      <c r="D273" s="30">
        <f>COUNTIFS('AT. MEDICAS 2024'!$A$9:$A$874,"02/11/2025",'AT. MEDICAS 2024'!$I$9:$I$874,B273)</f>
        <v>0</v>
      </c>
      <c r="E273" s="30">
        <f>COUNTIFS('AT. MEDICAS 2024'!$A$9:$A$874,"03/11/2025",'AT. MEDICAS 2024'!$I$9:$I$874,B273)</f>
        <v>0</v>
      </c>
      <c r="F273" s="30">
        <f>COUNTIFS('AT. MEDICAS 2024'!$A$9:$A$874,"04/11/2025",'AT. MEDICAS 2024'!$I$9:$I$874,B273)</f>
        <v>0</v>
      </c>
      <c r="G273" s="30">
        <f>COUNTIFS('AT. MEDICAS 2024'!$A$9:$A$874,"05/11/2025",'AT. MEDICAS 2024'!$I$9:$I$874,B273)</f>
        <v>0</v>
      </c>
      <c r="H273" s="30">
        <f>COUNTIFS('AT. MEDICAS 2024'!$A$9:$A$874,"06/11/2025",'AT. MEDICAS 2024'!$I$9:$I$874,B273)</f>
        <v>0</v>
      </c>
      <c r="I273" s="30">
        <f>COUNTIFS('AT. MEDICAS 2024'!$A$9:$A$874,"07/11/2025",'AT. MEDICAS 2024'!$I$9:$I$874,B273)</f>
        <v>0</v>
      </c>
      <c r="J273" s="30">
        <f>COUNTIFS('AT. MEDICAS 2024'!$A$9:$A$874,"08/11/2025",'AT. MEDICAS 2024'!$I$9:$I$874,B273)</f>
        <v>0</v>
      </c>
      <c r="K273" s="30">
        <f>COUNTIFS('AT. MEDICAS 2024'!$A$9:$A$874,"09/11/2025",'AT. MEDICAS 2024'!$I$9:$I$874,B273)</f>
        <v>0</v>
      </c>
      <c r="L273" s="30">
        <f>COUNTIFS('AT. MEDICAS 2024'!$A$9:$A$874,"10/11/2025",'AT. MEDICAS 2024'!$I$9:$I$874,B273)</f>
        <v>0</v>
      </c>
      <c r="M273" s="30">
        <f>COUNTIFS('AT. MEDICAS 2024'!$A$9:$A$874,"11/11/2025",'AT. MEDICAS 2024'!$I$9:$I$874,B273)</f>
        <v>0</v>
      </c>
      <c r="N273" s="30">
        <f>COUNTIFS('AT. MEDICAS 2024'!$A$9:$A$874,"12/11/2025",'AT. MEDICAS 2024'!$I$9:$I$874,B273)</f>
        <v>0</v>
      </c>
      <c r="O273" s="30">
        <f>COUNTIFS('AT. MEDICAS 2024'!$A$9:$A$874,"13/11/2025",'AT. MEDICAS 2024'!$I$9:$I$874,B273)</f>
        <v>0</v>
      </c>
      <c r="P273" s="30">
        <f>COUNTIFS('AT. MEDICAS 2024'!$A$9:$A$874,"14/11/2025",'AT. MEDICAS 2024'!$I$9:$I$874,B273)</f>
        <v>0</v>
      </c>
      <c r="Q273" s="30">
        <f>COUNTIFS('AT. MEDICAS 2024'!$A$9:$A$874,"15/11/2025",'AT. MEDICAS 2024'!$I$9:$I$874,B273)</f>
        <v>0</v>
      </c>
      <c r="R273" s="30">
        <f>COUNTIFS('AT. MEDICAS 2024'!$A$9:$A$874,"16/11/2025",'AT. MEDICAS 2024'!$I$9:$I$874,B273)</f>
        <v>0</v>
      </c>
      <c r="S273" s="30">
        <f>COUNTIFS('AT. MEDICAS 2024'!$A$9:$A$874,"17/11/2025",'AT. MEDICAS 2024'!$I$9:$I$874,B273)</f>
        <v>0</v>
      </c>
      <c r="T273" s="30">
        <f>COUNTIFS('AT. MEDICAS 2024'!$A$9:$A$874,"18/11/2025",'AT. MEDICAS 2024'!$I$9:$I$874,B273)</f>
        <v>0</v>
      </c>
      <c r="U273" s="30">
        <f>COUNTIFS('AT. MEDICAS 2024'!$A$9:$A$874,"19/11/2025",'AT. MEDICAS 2024'!$I$9:$I$874,B273)</f>
        <v>0</v>
      </c>
      <c r="V273" s="30">
        <f>COUNTIFS('AT. MEDICAS 2024'!$A$9:$A$874,"20/11/2025",'AT. MEDICAS 2024'!$I$9:$I$874,B273)</f>
        <v>0</v>
      </c>
      <c r="W273" s="30">
        <f>COUNTIFS('AT. MEDICAS 2024'!$A$9:$A$874,"21/11/2025",'AT. MEDICAS 2024'!$I$9:$I$874,B273)</f>
        <v>0</v>
      </c>
      <c r="X273" s="30">
        <f>COUNTIFS('AT. MEDICAS 2024'!$A$9:$A$874,"22/11/2025",'AT. MEDICAS 2024'!$I$9:$I$874,B273)</f>
        <v>0</v>
      </c>
      <c r="Y273" s="30">
        <f>COUNTIFS('AT. MEDICAS 2024'!$A$9:$A$874,"23/11/2025",'AT. MEDICAS 2024'!$I$9:$I$874,B273)</f>
        <v>0</v>
      </c>
      <c r="Z273" s="30">
        <f>COUNTIFS('AT. MEDICAS 2024'!$A$9:$A$874,"24/11/2025",'AT. MEDICAS 2024'!$I$9:$I$874,B273)</f>
        <v>0</v>
      </c>
      <c r="AA273" s="30">
        <f>COUNTIFS('AT. MEDICAS 2024'!$A$9:$A$874,"25/11/2025",'AT. MEDICAS 2024'!$I$9:$I$874,B273)</f>
        <v>0</v>
      </c>
      <c r="AB273" s="30">
        <f>COUNTIFS('AT. MEDICAS 2024'!$A$9:$A$874,"26/11/2025",'AT. MEDICAS 2024'!$I$9:$I$874,B273)</f>
        <v>0</v>
      </c>
      <c r="AC273" s="30">
        <f>COUNTIFS('AT. MEDICAS 2024'!$A$9:$A$874,"27/11/2025",'AT. MEDICAS 2024'!$I$9:$I$874,B273)</f>
        <v>0</v>
      </c>
      <c r="AD273" s="30">
        <f>COUNTIFS('AT. MEDICAS 2024'!$A$9:$A$874,"28/11/2025",'AT. MEDICAS 2024'!$I$9:$I$874,B273)</f>
        <v>0</v>
      </c>
      <c r="AE273" s="30">
        <f>COUNTIFS('AT. MEDICAS 2024'!$A$9:$A$874,"29/11/2025",'AT. MEDICAS 2024'!$I$9:$I$874,B273)</f>
        <v>0</v>
      </c>
      <c r="AF273" s="30">
        <f>COUNTIFS('AT. MEDICAS 2024'!$A$9:$A$874,"30/11/2025",'AT. MEDICAS 2024'!$I$9:$I$874,B273)</f>
        <v>0</v>
      </c>
      <c r="AG273" s="30"/>
      <c r="AH273" s="55">
        <f t="shared" si="31"/>
        <v>0</v>
      </c>
    </row>
    <row r="274" spans="1:34" ht="13.8" thickBot="1" x14ac:dyDescent="0.3">
      <c r="A274" s="41">
        <v>14</v>
      </c>
      <c r="B274" s="54" t="s">
        <v>66</v>
      </c>
      <c r="C274" s="30">
        <f>COUNTIFS('AT. MEDICAS 2024'!$A$9:$A$874,"01/11/2025",'AT. MEDICAS 2024'!$I$9:$I$874,B274)</f>
        <v>0</v>
      </c>
      <c r="D274" s="30">
        <f>COUNTIFS('AT. MEDICAS 2024'!$A$9:$A$874,"02/11/2025",'AT. MEDICAS 2024'!$I$9:$I$874,B274)</f>
        <v>0</v>
      </c>
      <c r="E274" s="30">
        <f>COUNTIFS('AT. MEDICAS 2024'!$A$9:$A$874,"03/11/2025",'AT. MEDICAS 2024'!$I$9:$I$874,B274)</f>
        <v>0</v>
      </c>
      <c r="F274" s="30">
        <f>COUNTIFS('AT. MEDICAS 2024'!$A$9:$A$874,"04/11/2025",'AT. MEDICAS 2024'!$I$9:$I$874,B274)</f>
        <v>0</v>
      </c>
      <c r="G274" s="30">
        <f>COUNTIFS('AT. MEDICAS 2024'!$A$9:$A$874,"05/11/2025",'AT. MEDICAS 2024'!$I$9:$I$874,B274)</f>
        <v>0</v>
      </c>
      <c r="H274" s="30">
        <f>COUNTIFS('AT. MEDICAS 2024'!$A$9:$A$874,"06/11/2025",'AT. MEDICAS 2024'!$I$9:$I$874,B274)</f>
        <v>0</v>
      </c>
      <c r="I274" s="30">
        <f>COUNTIFS('AT. MEDICAS 2024'!$A$9:$A$874,"07/11/2025",'AT. MEDICAS 2024'!$I$9:$I$874,B274)</f>
        <v>0</v>
      </c>
      <c r="J274" s="30">
        <f>COUNTIFS('AT. MEDICAS 2024'!$A$9:$A$874,"08/11/2025",'AT. MEDICAS 2024'!$I$9:$I$874,B274)</f>
        <v>0</v>
      </c>
      <c r="K274" s="30">
        <f>COUNTIFS('AT. MEDICAS 2024'!$A$9:$A$874,"09/11/2025",'AT. MEDICAS 2024'!$I$9:$I$874,B274)</f>
        <v>0</v>
      </c>
      <c r="L274" s="30">
        <f>COUNTIFS('AT. MEDICAS 2024'!$A$9:$A$874,"10/11/2025",'AT. MEDICAS 2024'!$I$9:$I$874,B274)</f>
        <v>0</v>
      </c>
      <c r="M274" s="30">
        <f>COUNTIFS('AT. MEDICAS 2024'!$A$9:$A$874,"11/11/2025",'AT. MEDICAS 2024'!$I$9:$I$874,B274)</f>
        <v>0</v>
      </c>
      <c r="N274" s="30">
        <f>COUNTIFS('AT. MEDICAS 2024'!$A$9:$A$874,"12/11/2025",'AT. MEDICAS 2024'!$I$9:$I$874,B274)</f>
        <v>0</v>
      </c>
      <c r="O274" s="30">
        <f>COUNTIFS('AT. MEDICAS 2024'!$A$9:$A$874,"13/11/2025",'AT. MEDICAS 2024'!$I$9:$I$874,B274)</f>
        <v>0</v>
      </c>
      <c r="P274" s="30">
        <f>COUNTIFS('AT. MEDICAS 2024'!$A$9:$A$874,"14/11/2025",'AT. MEDICAS 2024'!$I$9:$I$874,B274)</f>
        <v>0</v>
      </c>
      <c r="Q274" s="30">
        <f>COUNTIFS('AT. MEDICAS 2024'!$A$9:$A$874,"15/11/2025",'AT. MEDICAS 2024'!$I$9:$I$874,B274)</f>
        <v>0</v>
      </c>
      <c r="R274" s="30">
        <f>COUNTIFS('AT. MEDICAS 2024'!$A$9:$A$874,"16/11/2025",'AT. MEDICAS 2024'!$I$9:$I$874,B274)</f>
        <v>0</v>
      </c>
      <c r="S274" s="30">
        <f>COUNTIFS('AT. MEDICAS 2024'!$A$9:$A$874,"17/11/2025",'AT. MEDICAS 2024'!$I$9:$I$874,B274)</f>
        <v>0</v>
      </c>
      <c r="T274" s="30">
        <f>COUNTIFS('AT. MEDICAS 2024'!$A$9:$A$874,"18/11/2025",'AT. MEDICAS 2024'!$I$9:$I$874,B274)</f>
        <v>0</v>
      </c>
      <c r="U274" s="30">
        <f>COUNTIFS('AT. MEDICAS 2024'!$A$9:$A$874,"19/11/2025",'AT. MEDICAS 2024'!$I$9:$I$874,B274)</f>
        <v>0</v>
      </c>
      <c r="V274" s="30">
        <f>COUNTIFS('AT. MEDICAS 2024'!$A$9:$A$874,"20/11/2025",'AT. MEDICAS 2024'!$I$9:$I$874,B274)</f>
        <v>0</v>
      </c>
      <c r="W274" s="30">
        <f>COUNTIFS('AT. MEDICAS 2024'!$A$9:$A$874,"21/11/2025",'AT. MEDICAS 2024'!$I$9:$I$874,B274)</f>
        <v>0</v>
      </c>
      <c r="X274" s="30">
        <f>COUNTIFS('AT. MEDICAS 2024'!$A$9:$A$874,"22/11/2025",'AT. MEDICAS 2024'!$I$9:$I$874,B274)</f>
        <v>0</v>
      </c>
      <c r="Y274" s="30">
        <f>COUNTIFS('AT. MEDICAS 2024'!$A$9:$A$874,"23/11/2025",'AT. MEDICAS 2024'!$I$9:$I$874,B274)</f>
        <v>0</v>
      </c>
      <c r="Z274" s="30">
        <f>COUNTIFS('AT. MEDICAS 2024'!$A$9:$A$874,"24/11/2025",'AT. MEDICAS 2024'!$I$9:$I$874,B274)</f>
        <v>0</v>
      </c>
      <c r="AA274" s="30">
        <f>COUNTIFS('AT. MEDICAS 2024'!$A$9:$A$874,"25/11/2025",'AT. MEDICAS 2024'!$I$9:$I$874,B274)</f>
        <v>0</v>
      </c>
      <c r="AB274" s="30">
        <f>COUNTIFS('AT. MEDICAS 2024'!$A$9:$A$874,"26/11/2025",'AT. MEDICAS 2024'!$I$9:$I$874,B274)</f>
        <v>0</v>
      </c>
      <c r="AC274" s="30">
        <f>COUNTIFS('AT. MEDICAS 2024'!$A$9:$A$874,"27/11/2025",'AT. MEDICAS 2024'!$I$9:$I$874,B274)</f>
        <v>0</v>
      </c>
      <c r="AD274" s="30">
        <f>COUNTIFS('AT. MEDICAS 2024'!$A$9:$A$874,"28/11/2025",'AT. MEDICAS 2024'!$I$9:$I$874,B274)</f>
        <v>0</v>
      </c>
      <c r="AE274" s="30">
        <f>COUNTIFS('AT. MEDICAS 2024'!$A$9:$A$874,"29/11/2025",'AT. MEDICAS 2024'!$I$9:$I$874,B274)</f>
        <v>0</v>
      </c>
      <c r="AF274" s="30">
        <f>COUNTIFS('AT. MEDICAS 2024'!$A$9:$A$874,"30/11/2025",'AT. MEDICAS 2024'!$I$9:$I$874,B274)</f>
        <v>0</v>
      </c>
      <c r="AG274" s="30"/>
      <c r="AH274" s="55">
        <f t="shared" si="31"/>
        <v>0</v>
      </c>
    </row>
    <row r="275" spans="1:34" ht="13.8" thickBot="1" x14ac:dyDescent="0.3">
      <c r="A275" s="41">
        <v>15</v>
      </c>
      <c r="B275" s="54" t="s">
        <v>189</v>
      </c>
      <c r="C275" s="30">
        <f>COUNTIFS('AT. MEDICAS 2024'!$A$9:$A$874,"01/11/2025",'AT. MEDICAS 2024'!$I$9:$I$874,B275)</f>
        <v>0</v>
      </c>
      <c r="D275" s="30">
        <f>COUNTIFS('AT. MEDICAS 2024'!$A$9:$A$874,"02/11/2025",'AT. MEDICAS 2024'!$I$9:$I$874,B275)</f>
        <v>0</v>
      </c>
      <c r="E275" s="30">
        <f>COUNTIFS('AT. MEDICAS 2024'!$A$9:$A$874,"03/11/2025",'AT. MEDICAS 2024'!$I$9:$I$874,B275)</f>
        <v>0</v>
      </c>
      <c r="F275" s="30">
        <f>COUNTIFS('AT. MEDICAS 2024'!$A$9:$A$874,"04/11/2025",'AT. MEDICAS 2024'!$I$9:$I$874,B275)</f>
        <v>0</v>
      </c>
      <c r="G275" s="30">
        <f>COUNTIFS('AT. MEDICAS 2024'!$A$9:$A$874,"05/11/2025",'AT. MEDICAS 2024'!$I$9:$I$874,B275)</f>
        <v>0</v>
      </c>
      <c r="H275" s="30">
        <f>COUNTIFS('AT. MEDICAS 2024'!$A$9:$A$874,"06/11/2025",'AT. MEDICAS 2024'!$I$9:$I$874,B275)</f>
        <v>0</v>
      </c>
      <c r="I275" s="30">
        <f>COUNTIFS('AT. MEDICAS 2024'!$A$9:$A$874,"07/11/2025",'AT. MEDICAS 2024'!$I$9:$I$874,B275)</f>
        <v>0</v>
      </c>
      <c r="J275" s="30">
        <f>COUNTIFS('AT. MEDICAS 2024'!$A$9:$A$874,"08/11/2025",'AT. MEDICAS 2024'!$I$9:$I$874,B275)</f>
        <v>0</v>
      </c>
      <c r="K275" s="30">
        <f>COUNTIFS('AT. MEDICAS 2024'!$A$9:$A$874,"09/11/2025",'AT. MEDICAS 2024'!$I$9:$I$874,B275)</f>
        <v>0</v>
      </c>
      <c r="L275" s="30">
        <f>COUNTIFS('AT. MEDICAS 2024'!$A$9:$A$874,"10/11/2025",'AT. MEDICAS 2024'!$I$9:$I$874,B275)</f>
        <v>0</v>
      </c>
      <c r="M275" s="30">
        <f>COUNTIFS('AT. MEDICAS 2024'!$A$9:$A$874,"11/11/2025",'AT. MEDICAS 2024'!$I$9:$I$874,B275)</f>
        <v>0</v>
      </c>
      <c r="N275" s="30">
        <f>COUNTIFS('AT. MEDICAS 2024'!$A$9:$A$874,"12/11/2025",'AT. MEDICAS 2024'!$I$9:$I$874,B275)</f>
        <v>0</v>
      </c>
      <c r="O275" s="30">
        <f>COUNTIFS('AT. MEDICAS 2024'!$A$9:$A$874,"13/11/2025",'AT. MEDICAS 2024'!$I$9:$I$874,B275)</f>
        <v>0</v>
      </c>
      <c r="P275" s="30">
        <f>COUNTIFS('AT. MEDICAS 2024'!$A$9:$A$874,"14/11/2025",'AT. MEDICAS 2024'!$I$9:$I$874,B275)</f>
        <v>0</v>
      </c>
      <c r="Q275" s="30">
        <f>COUNTIFS('AT. MEDICAS 2024'!$A$9:$A$874,"15/11/2025",'AT. MEDICAS 2024'!$I$9:$I$874,B275)</f>
        <v>0</v>
      </c>
      <c r="R275" s="30">
        <f>COUNTIFS('AT. MEDICAS 2024'!$A$9:$A$874,"16/11/2025",'AT. MEDICAS 2024'!$I$9:$I$874,B275)</f>
        <v>0</v>
      </c>
      <c r="S275" s="30">
        <f>COUNTIFS('AT. MEDICAS 2024'!$A$9:$A$874,"17/11/2025",'AT. MEDICAS 2024'!$I$9:$I$874,B275)</f>
        <v>0</v>
      </c>
      <c r="T275" s="30">
        <f>COUNTIFS('AT. MEDICAS 2024'!$A$9:$A$874,"18/11/2025",'AT. MEDICAS 2024'!$I$9:$I$874,B275)</f>
        <v>0</v>
      </c>
      <c r="U275" s="30">
        <f>COUNTIFS('AT. MEDICAS 2024'!$A$9:$A$874,"19/11/2025",'AT. MEDICAS 2024'!$I$9:$I$874,B275)</f>
        <v>0</v>
      </c>
      <c r="V275" s="30">
        <f>COUNTIFS('AT. MEDICAS 2024'!$A$9:$A$874,"20/11/2025",'AT. MEDICAS 2024'!$I$9:$I$874,B275)</f>
        <v>0</v>
      </c>
      <c r="W275" s="30">
        <f>COUNTIFS('AT. MEDICAS 2024'!$A$9:$A$874,"21/11/2025",'AT. MEDICAS 2024'!$I$9:$I$874,B275)</f>
        <v>0</v>
      </c>
      <c r="X275" s="30">
        <f>COUNTIFS('AT. MEDICAS 2024'!$A$9:$A$874,"22/11/2025",'AT. MEDICAS 2024'!$I$9:$I$874,B275)</f>
        <v>0</v>
      </c>
      <c r="Y275" s="30">
        <f>COUNTIFS('AT. MEDICAS 2024'!$A$9:$A$874,"23/11/2025",'AT. MEDICAS 2024'!$I$9:$I$874,B275)</f>
        <v>0</v>
      </c>
      <c r="Z275" s="30">
        <f>COUNTIFS('AT. MEDICAS 2024'!$A$9:$A$874,"24/11/2025",'AT. MEDICAS 2024'!$I$9:$I$874,B275)</f>
        <v>0</v>
      </c>
      <c r="AA275" s="30">
        <f>COUNTIFS('AT. MEDICAS 2024'!$A$9:$A$874,"25/11/2025",'AT. MEDICAS 2024'!$I$9:$I$874,B275)</f>
        <v>0</v>
      </c>
      <c r="AB275" s="30">
        <f>COUNTIFS('AT. MEDICAS 2024'!$A$9:$A$874,"26/11/2025",'AT. MEDICAS 2024'!$I$9:$I$874,B275)</f>
        <v>0</v>
      </c>
      <c r="AC275" s="30">
        <f>COUNTIFS('AT. MEDICAS 2024'!$A$9:$A$874,"27/11/2025",'AT. MEDICAS 2024'!$I$9:$I$874,B275)</f>
        <v>0</v>
      </c>
      <c r="AD275" s="30">
        <f>COUNTIFS('AT. MEDICAS 2024'!$A$9:$A$874,"28/11/2025",'AT. MEDICAS 2024'!$I$9:$I$874,B275)</f>
        <v>0</v>
      </c>
      <c r="AE275" s="30">
        <f>COUNTIFS('AT. MEDICAS 2024'!$A$9:$A$874,"29/11/2025",'AT. MEDICAS 2024'!$I$9:$I$874,B275)</f>
        <v>0</v>
      </c>
      <c r="AF275" s="30">
        <f>COUNTIFS('AT. MEDICAS 2024'!$A$9:$A$874,"30/11/2025",'AT. MEDICAS 2024'!$I$9:$I$874,B275)</f>
        <v>0</v>
      </c>
      <c r="AG275" s="30"/>
      <c r="AH275" s="55">
        <f t="shared" si="31"/>
        <v>0</v>
      </c>
    </row>
    <row r="276" spans="1:34" ht="13.8" thickBot="1" x14ac:dyDescent="0.3">
      <c r="A276" s="41">
        <v>16</v>
      </c>
      <c r="B276" s="54" t="s">
        <v>14</v>
      </c>
      <c r="C276" s="30">
        <f>COUNTIFS('AT. MEDICAS 2024'!$A$9:$A$874,"01/11/2025",'AT. MEDICAS 2024'!$I$9:$I$874,B276)</f>
        <v>0</v>
      </c>
      <c r="D276" s="30">
        <f>COUNTIFS('AT. MEDICAS 2024'!$A$9:$A$874,"02/11/2025",'AT. MEDICAS 2024'!$I$9:$I$874,B276)</f>
        <v>0</v>
      </c>
      <c r="E276" s="30">
        <f>COUNTIFS('AT. MEDICAS 2024'!$A$9:$A$874,"03/11/2025",'AT. MEDICAS 2024'!$I$9:$I$874,B276)</f>
        <v>0</v>
      </c>
      <c r="F276" s="30">
        <f>COUNTIFS('AT. MEDICAS 2024'!$A$9:$A$874,"04/11/2025",'AT. MEDICAS 2024'!$I$9:$I$874,B276)</f>
        <v>0</v>
      </c>
      <c r="G276" s="30">
        <f>COUNTIFS('AT. MEDICAS 2024'!$A$9:$A$874,"05/11/2025",'AT. MEDICAS 2024'!$I$9:$I$874,B276)</f>
        <v>0</v>
      </c>
      <c r="H276" s="30">
        <f>COUNTIFS('AT. MEDICAS 2024'!$A$9:$A$874,"06/11/2025",'AT. MEDICAS 2024'!$I$9:$I$874,B276)</f>
        <v>0</v>
      </c>
      <c r="I276" s="30">
        <f>COUNTIFS('AT. MEDICAS 2024'!$A$9:$A$874,"07/11/2025",'AT. MEDICAS 2024'!$I$9:$I$874,B276)</f>
        <v>0</v>
      </c>
      <c r="J276" s="30">
        <f>COUNTIFS('AT. MEDICAS 2024'!$A$9:$A$874,"08/11/2025",'AT. MEDICAS 2024'!$I$9:$I$874,B276)</f>
        <v>0</v>
      </c>
      <c r="K276" s="30">
        <f>COUNTIFS('AT. MEDICAS 2024'!$A$9:$A$874,"09/11/2025",'AT. MEDICAS 2024'!$I$9:$I$874,B276)</f>
        <v>0</v>
      </c>
      <c r="L276" s="30">
        <f>COUNTIFS('AT. MEDICAS 2024'!$A$9:$A$874,"10/11/2025",'AT. MEDICAS 2024'!$I$9:$I$874,B276)</f>
        <v>0</v>
      </c>
      <c r="M276" s="30">
        <f>COUNTIFS('AT. MEDICAS 2024'!$A$9:$A$874,"11/11/2025",'AT. MEDICAS 2024'!$I$9:$I$874,B276)</f>
        <v>0</v>
      </c>
      <c r="N276" s="30">
        <f>COUNTIFS('AT. MEDICAS 2024'!$A$9:$A$874,"12/11/2025",'AT. MEDICAS 2024'!$I$9:$I$874,B276)</f>
        <v>0</v>
      </c>
      <c r="O276" s="30">
        <f>COUNTIFS('AT. MEDICAS 2024'!$A$9:$A$874,"13/11/2025",'AT. MEDICAS 2024'!$I$9:$I$874,B276)</f>
        <v>0</v>
      </c>
      <c r="P276" s="30">
        <f>COUNTIFS('AT. MEDICAS 2024'!$A$9:$A$874,"14/11/2025",'AT. MEDICAS 2024'!$I$9:$I$874,B276)</f>
        <v>0</v>
      </c>
      <c r="Q276" s="30">
        <f>COUNTIFS('AT. MEDICAS 2024'!$A$9:$A$874,"15/11/2025",'AT. MEDICAS 2024'!$I$9:$I$874,B276)</f>
        <v>0</v>
      </c>
      <c r="R276" s="30">
        <f>COUNTIFS('AT. MEDICAS 2024'!$A$9:$A$874,"16/11/2025",'AT. MEDICAS 2024'!$I$9:$I$874,B276)</f>
        <v>0</v>
      </c>
      <c r="S276" s="30">
        <f>COUNTIFS('AT. MEDICAS 2024'!$A$9:$A$874,"17/11/2025",'AT. MEDICAS 2024'!$I$9:$I$874,B276)</f>
        <v>0</v>
      </c>
      <c r="T276" s="30">
        <f>COUNTIFS('AT. MEDICAS 2024'!$A$9:$A$874,"18/11/2025",'AT. MEDICAS 2024'!$I$9:$I$874,B276)</f>
        <v>0</v>
      </c>
      <c r="U276" s="30">
        <f>COUNTIFS('AT. MEDICAS 2024'!$A$9:$A$874,"19/11/2025",'AT. MEDICAS 2024'!$I$9:$I$874,B276)</f>
        <v>0</v>
      </c>
      <c r="V276" s="30">
        <f>COUNTIFS('AT. MEDICAS 2024'!$A$9:$A$874,"20/11/2025",'AT. MEDICAS 2024'!$I$9:$I$874,B276)</f>
        <v>0</v>
      </c>
      <c r="W276" s="30">
        <f>COUNTIFS('AT. MEDICAS 2024'!$A$9:$A$874,"21/11/2025",'AT. MEDICAS 2024'!$I$9:$I$874,B276)</f>
        <v>0</v>
      </c>
      <c r="X276" s="30">
        <f>COUNTIFS('AT. MEDICAS 2024'!$A$9:$A$874,"22/11/2025",'AT. MEDICAS 2024'!$I$9:$I$874,B276)</f>
        <v>0</v>
      </c>
      <c r="Y276" s="30">
        <f>COUNTIFS('AT. MEDICAS 2024'!$A$9:$A$874,"23/11/2025",'AT. MEDICAS 2024'!$I$9:$I$874,B276)</f>
        <v>0</v>
      </c>
      <c r="Z276" s="30">
        <f>COUNTIFS('AT. MEDICAS 2024'!$A$9:$A$874,"24/11/2025",'AT. MEDICAS 2024'!$I$9:$I$874,B276)</f>
        <v>0</v>
      </c>
      <c r="AA276" s="30">
        <f>COUNTIFS('AT. MEDICAS 2024'!$A$9:$A$874,"25/11/2025",'AT. MEDICAS 2024'!$I$9:$I$874,B276)</f>
        <v>0</v>
      </c>
      <c r="AB276" s="30">
        <f>COUNTIFS('AT. MEDICAS 2024'!$A$9:$A$874,"26/11/2025",'AT. MEDICAS 2024'!$I$9:$I$874,B276)</f>
        <v>0</v>
      </c>
      <c r="AC276" s="30">
        <f>COUNTIFS('AT. MEDICAS 2024'!$A$9:$A$874,"27/11/2025",'AT. MEDICAS 2024'!$I$9:$I$874,B276)</f>
        <v>0</v>
      </c>
      <c r="AD276" s="30">
        <f>COUNTIFS('AT. MEDICAS 2024'!$A$9:$A$874,"28/11/2025",'AT. MEDICAS 2024'!$I$9:$I$874,B276)</f>
        <v>0</v>
      </c>
      <c r="AE276" s="30">
        <f>COUNTIFS('AT. MEDICAS 2024'!$A$9:$A$874,"29/11/2025",'AT. MEDICAS 2024'!$I$9:$I$874,B276)</f>
        <v>0</v>
      </c>
      <c r="AF276" s="30">
        <f>COUNTIFS('AT. MEDICAS 2024'!$A$9:$A$874,"30/11/2025",'AT. MEDICAS 2024'!$I$9:$I$874,B276)</f>
        <v>0</v>
      </c>
      <c r="AG276" s="30"/>
      <c r="AH276" s="55">
        <f t="shared" si="31"/>
        <v>0</v>
      </c>
    </row>
    <row r="277" spans="1:34" ht="13.8" thickBot="1" x14ac:dyDescent="0.3">
      <c r="A277" s="41">
        <v>17</v>
      </c>
      <c r="B277" s="54" t="s">
        <v>72</v>
      </c>
      <c r="C277" s="30">
        <f>COUNTIFS('AT. MEDICAS 2024'!$A$9:$A$874,"01/11/2025",'AT. MEDICAS 2024'!$I$9:$I$874,B277)</f>
        <v>0</v>
      </c>
      <c r="D277" s="30">
        <f>COUNTIFS('AT. MEDICAS 2024'!$A$9:$A$874,"02/11/2025",'AT. MEDICAS 2024'!$I$9:$I$874,B277)</f>
        <v>0</v>
      </c>
      <c r="E277" s="30">
        <f>COUNTIFS('AT. MEDICAS 2024'!$A$9:$A$874,"03/11/2025",'AT. MEDICAS 2024'!$I$9:$I$874,B277)</f>
        <v>0</v>
      </c>
      <c r="F277" s="30">
        <f>COUNTIFS('AT. MEDICAS 2024'!$A$9:$A$874,"04/11/2025",'AT. MEDICAS 2024'!$I$9:$I$874,B277)</f>
        <v>0</v>
      </c>
      <c r="G277" s="30">
        <f>COUNTIFS('AT. MEDICAS 2024'!$A$9:$A$874,"05/11/2025",'AT. MEDICAS 2024'!$I$9:$I$874,B277)</f>
        <v>0</v>
      </c>
      <c r="H277" s="30">
        <f>COUNTIFS('AT. MEDICAS 2024'!$A$9:$A$874,"06/11/2025",'AT. MEDICAS 2024'!$I$9:$I$874,B277)</f>
        <v>0</v>
      </c>
      <c r="I277" s="30">
        <f>COUNTIFS('AT. MEDICAS 2024'!$A$9:$A$874,"07/11/2025",'AT. MEDICAS 2024'!$I$9:$I$874,B277)</f>
        <v>0</v>
      </c>
      <c r="J277" s="30">
        <f>COUNTIFS('AT. MEDICAS 2024'!$A$9:$A$874,"08/11/2025",'AT. MEDICAS 2024'!$I$9:$I$874,B277)</f>
        <v>0</v>
      </c>
      <c r="K277" s="30">
        <f>COUNTIFS('AT. MEDICAS 2024'!$A$9:$A$874,"09/11/2025",'AT. MEDICAS 2024'!$I$9:$I$874,B277)</f>
        <v>0</v>
      </c>
      <c r="L277" s="30">
        <f>COUNTIFS('AT. MEDICAS 2024'!$A$9:$A$874,"10/11/2025",'AT. MEDICAS 2024'!$I$9:$I$874,B277)</f>
        <v>0</v>
      </c>
      <c r="M277" s="30">
        <f>COUNTIFS('AT. MEDICAS 2024'!$A$9:$A$874,"11/11/2025",'AT. MEDICAS 2024'!$I$9:$I$874,B277)</f>
        <v>0</v>
      </c>
      <c r="N277" s="30">
        <f>COUNTIFS('AT. MEDICAS 2024'!$A$9:$A$874,"12/11/2025",'AT. MEDICAS 2024'!$I$9:$I$874,B277)</f>
        <v>0</v>
      </c>
      <c r="O277" s="30">
        <f>COUNTIFS('AT. MEDICAS 2024'!$A$9:$A$874,"13/11/2025",'AT. MEDICAS 2024'!$I$9:$I$874,B277)</f>
        <v>0</v>
      </c>
      <c r="P277" s="30">
        <f>COUNTIFS('AT. MEDICAS 2024'!$A$9:$A$874,"14/11/2025",'AT. MEDICAS 2024'!$I$9:$I$874,B277)</f>
        <v>0</v>
      </c>
      <c r="Q277" s="30">
        <f>COUNTIFS('AT. MEDICAS 2024'!$A$9:$A$874,"15/11/2025",'AT. MEDICAS 2024'!$I$9:$I$874,B277)</f>
        <v>0</v>
      </c>
      <c r="R277" s="30">
        <f>COUNTIFS('AT. MEDICAS 2024'!$A$9:$A$874,"16/11/2025",'AT. MEDICAS 2024'!$I$9:$I$874,B277)</f>
        <v>0</v>
      </c>
      <c r="S277" s="30">
        <f>COUNTIFS('AT. MEDICAS 2024'!$A$9:$A$874,"17/11/2025",'AT. MEDICAS 2024'!$I$9:$I$874,B277)</f>
        <v>0</v>
      </c>
      <c r="T277" s="30">
        <f>COUNTIFS('AT. MEDICAS 2024'!$A$9:$A$874,"18/11/2025",'AT. MEDICAS 2024'!$I$9:$I$874,B277)</f>
        <v>0</v>
      </c>
      <c r="U277" s="30">
        <f>COUNTIFS('AT. MEDICAS 2024'!$A$9:$A$874,"19/11/2025",'AT. MEDICAS 2024'!$I$9:$I$874,B277)</f>
        <v>0</v>
      </c>
      <c r="V277" s="30">
        <f>COUNTIFS('AT. MEDICAS 2024'!$A$9:$A$874,"20/11/2025",'AT. MEDICAS 2024'!$I$9:$I$874,B277)</f>
        <v>0</v>
      </c>
      <c r="W277" s="30">
        <f>COUNTIFS('AT. MEDICAS 2024'!$A$9:$A$874,"21/11/2025",'AT. MEDICAS 2024'!$I$9:$I$874,B277)</f>
        <v>0</v>
      </c>
      <c r="X277" s="30">
        <f>COUNTIFS('AT. MEDICAS 2024'!$A$9:$A$874,"22/11/2025",'AT. MEDICAS 2024'!$I$9:$I$874,B277)</f>
        <v>0</v>
      </c>
      <c r="Y277" s="30">
        <f>COUNTIFS('AT. MEDICAS 2024'!$A$9:$A$874,"23/11/2025",'AT. MEDICAS 2024'!$I$9:$I$874,B277)</f>
        <v>0</v>
      </c>
      <c r="Z277" s="30">
        <f>COUNTIFS('AT. MEDICAS 2024'!$A$9:$A$874,"24/11/2025",'AT. MEDICAS 2024'!$I$9:$I$874,B277)</f>
        <v>0</v>
      </c>
      <c r="AA277" s="30">
        <f>COUNTIFS('AT. MEDICAS 2024'!$A$9:$A$874,"25/11/2025",'AT. MEDICAS 2024'!$I$9:$I$874,B277)</f>
        <v>0</v>
      </c>
      <c r="AB277" s="30">
        <f>COUNTIFS('AT. MEDICAS 2024'!$A$9:$A$874,"26/11/2025",'AT. MEDICAS 2024'!$I$9:$I$874,B277)</f>
        <v>0</v>
      </c>
      <c r="AC277" s="30">
        <f>COUNTIFS('AT. MEDICAS 2024'!$A$9:$A$874,"27/11/2025",'AT. MEDICAS 2024'!$I$9:$I$874,B277)</f>
        <v>0</v>
      </c>
      <c r="AD277" s="30">
        <f>COUNTIFS('AT. MEDICAS 2024'!$A$9:$A$874,"28/11/2025",'AT. MEDICAS 2024'!$I$9:$I$874,B277)</f>
        <v>0</v>
      </c>
      <c r="AE277" s="30">
        <f>COUNTIFS('AT. MEDICAS 2024'!$A$9:$A$874,"29/11/2025",'AT. MEDICAS 2024'!$I$9:$I$874,B277)</f>
        <v>0</v>
      </c>
      <c r="AF277" s="30">
        <f>COUNTIFS('AT. MEDICAS 2024'!$A$9:$A$874,"30/11/2025",'AT. MEDICAS 2024'!$I$9:$I$874,B277)</f>
        <v>0</v>
      </c>
      <c r="AG277" s="30"/>
      <c r="AH277" s="55">
        <f t="shared" si="31"/>
        <v>0</v>
      </c>
    </row>
    <row r="278" spans="1:34" ht="13.8" thickBot="1" x14ac:dyDescent="0.3">
      <c r="A278" s="41">
        <v>18</v>
      </c>
      <c r="B278" s="54" t="s">
        <v>190</v>
      </c>
      <c r="C278" s="30">
        <f>COUNTIFS('AT. MEDICAS 2024'!$A$9:$A$874,"01/11/2025",'AT. MEDICAS 2024'!$I$9:$I$874,B278)</f>
        <v>0</v>
      </c>
      <c r="D278" s="30">
        <f>COUNTIFS('AT. MEDICAS 2024'!$A$9:$A$874,"02/11/2025",'AT. MEDICAS 2024'!$I$9:$I$874,B278)</f>
        <v>0</v>
      </c>
      <c r="E278" s="30">
        <f>COUNTIFS('AT. MEDICAS 2024'!$A$9:$A$874,"03/11/2025",'AT. MEDICAS 2024'!$I$9:$I$874,B278)</f>
        <v>0</v>
      </c>
      <c r="F278" s="30">
        <f>COUNTIFS('AT. MEDICAS 2024'!$A$9:$A$874,"04/11/2025",'AT. MEDICAS 2024'!$I$9:$I$874,B278)</f>
        <v>0</v>
      </c>
      <c r="G278" s="30">
        <f>COUNTIFS('AT. MEDICAS 2024'!$A$9:$A$874,"05/11/2025",'AT. MEDICAS 2024'!$I$9:$I$874,B278)</f>
        <v>0</v>
      </c>
      <c r="H278" s="30">
        <f>COUNTIFS('AT. MEDICAS 2024'!$A$9:$A$874,"06/11/2025",'AT. MEDICAS 2024'!$I$9:$I$874,B278)</f>
        <v>0</v>
      </c>
      <c r="I278" s="30">
        <f>COUNTIFS('AT. MEDICAS 2024'!$A$9:$A$874,"07/11/2025",'AT. MEDICAS 2024'!$I$9:$I$874,B278)</f>
        <v>0</v>
      </c>
      <c r="J278" s="30">
        <f>COUNTIFS('AT. MEDICAS 2024'!$A$9:$A$874,"08/11/2025",'AT. MEDICAS 2024'!$I$9:$I$874,B278)</f>
        <v>0</v>
      </c>
      <c r="K278" s="30">
        <f>COUNTIFS('AT. MEDICAS 2024'!$A$9:$A$874,"09/11/2025",'AT. MEDICAS 2024'!$I$9:$I$874,B278)</f>
        <v>0</v>
      </c>
      <c r="L278" s="30">
        <f>COUNTIFS('AT. MEDICAS 2024'!$A$9:$A$874,"10/11/2025",'AT. MEDICAS 2024'!$I$9:$I$874,B278)</f>
        <v>0</v>
      </c>
      <c r="M278" s="30">
        <f>COUNTIFS('AT. MEDICAS 2024'!$A$9:$A$874,"11/11/2025",'AT. MEDICAS 2024'!$I$9:$I$874,B278)</f>
        <v>0</v>
      </c>
      <c r="N278" s="30">
        <f>COUNTIFS('AT. MEDICAS 2024'!$A$9:$A$874,"12/11/2025",'AT. MEDICAS 2024'!$I$9:$I$874,B278)</f>
        <v>0</v>
      </c>
      <c r="O278" s="30">
        <f>COUNTIFS('AT. MEDICAS 2024'!$A$9:$A$874,"13/11/2025",'AT. MEDICAS 2024'!$I$9:$I$874,B278)</f>
        <v>0</v>
      </c>
      <c r="P278" s="30">
        <f>COUNTIFS('AT. MEDICAS 2024'!$A$9:$A$874,"14/11/2025",'AT. MEDICAS 2024'!$I$9:$I$874,B278)</f>
        <v>0</v>
      </c>
      <c r="Q278" s="30">
        <f>COUNTIFS('AT. MEDICAS 2024'!$A$9:$A$874,"15/11/2025",'AT. MEDICAS 2024'!$I$9:$I$874,B278)</f>
        <v>0</v>
      </c>
      <c r="R278" s="30">
        <f>COUNTIFS('AT. MEDICAS 2024'!$A$9:$A$874,"16/11/2025",'AT. MEDICAS 2024'!$I$9:$I$874,B278)</f>
        <v>0</v>
      </c>
      <c r="S278" s="30">
        <f>COUNTIFS('AT. MEDICAS 2024'!$A$9:$A$874,"17/11/2025",'AT. MEDICAS 2024'!$I$9:$I$874,B278)</f>
        <v>0</v>
      </c>
      <c r="T278" s="30">
        <f>COUNTIFS('AT. MEDICAS 2024'!$A$9:$A$874,"18/11/2025",'AT. MEDICAS 2024'!$I$9:$I$874,B278)</f>
        <v>0</v>
      </c>
      <c r="U278" s="30">
        <f>COUNTIFS('AT. MEDICAS 2024'!$A$9:$A$874,"19/11/2025",'AT. MEDICAS 2024'!$I$9:$I$874,B278)</f>
        <v>0</v>
      </c>
      <c r="V278" s="30">
        <f>COUNTIFS('AT. MEDICAS 2024'!$A$9:$A$874,"20/11/2025",'AT. MEDICAS 2024'!$I$9:$I$874,B278)</f>
        <v>0</v>
      </c>
      <c r="W278" s="30">
        <f>COUNTIFS('AT. MEDICAS 2024'!$A$9:$A$874,"21/11/2025",'AT. MEDICAS 2024'!$I$9:$I$874,B278)</f>
        <v>0</v>
      </c>
      <c r="X278" s="30">
        <f>COUNTIFS('AT. MEDICAS 2024'!$A$9:$A$874,"22/11/2025",'AT. MEDICAS 2024'!$I$9:$I$874,B278)</f>
        <v>0</v>
      </c>
      <c r="Y278" s="30">
        <f>COUNTIFS('AT. MEDICAS 2024'!$A$9:$A$874,"23/11/2025",'AT. MEDICAS 2024'!$I$9:$I$874,B278)</f>
        <v>0</v>
      </c>
      <c r="Z278" s="30">
        <f>COUNTIFS('AT. MEDICAS 2024'!$A$9:$A$874,"24/11/2025",'AT. MEDICAS 2024'!$I$9:$I$874,B278)</f>
        <v>0</v>
      </c>
      <c r="AA278" s="30">
        <f>COUNTIFS('AT. MEDICAS 2024'!$A$9:$A$874,"25/11/2025",'AT. MEDICAS 2024'!$I$9:$I$874,B278)</f>
        <v>0</v>
      </c>
      <c r="AB278" s="30">
        <f>COUNTIFS('AT. MEDICAS 2024'!$A$9:$A$874,"26/11/2025",'AT. MEDICAS 2024'!$I$9:$I$874,B278)</f>
        <v>0</v>
      </c>
      <c r="AC278" s="30">
        <f>COUNTIFS('AT. MEDICAS 2024'!$A$9:$A$874,"27/11/2025",'AT. MEDICAS 2024'!$I$9:$I$874,B278)</f>
        <v>0</v>
      </c>
      <c r="AD278" s="30">
        <f>COUNTIFS('AT. MEDICAS 2024'!$A$9:$A$874,"28/11/2025",'AT. MEDICAS 2024'!$I$9:$I$874,B278)</f>
        <v>0</v>
      </c>
      <c r="AE278" s="30">
        <f>COUNTIFS('AT. MEDICAS 2024'!$A$9:$A$874,"29/11/2025",'AT. MEDICAS 2024'!$I$9:$I$874,B278)</f>
        <v>0</v>
      </c>
      <c r="AF278" s="30">
        <f>COUNTIFS('AT. MEDICAS 2024'!$A$9:$A$874,"30/11/2025",'AT. MEDICAS 2024'!$I$9:$I$874,B278)</f>
        <v>0</v>
      </c>
      <c r="AG278" s="30"/>
      <c r="AH278" s="55">
        <f t="shared" si="31"/>
        <v>0</v>
      </c>
    </row>
    <row r="279" spans="1:34" ht="13.8" thickBot="1" x14ac:dyDescent="0.3">
      <c r="A279" s="41">
        <v>19</v>
      </c>
      <c r="B279" s="54" t="s">
        <v>118</v>
      </c>
      <c r="C279" s="30">
        <f>COUNTIFS('AT. MEDICAS 2024'!$A$9:$A$874,"01/11/2025",'AT. MEDICAS 2024'!$I$9:$I$874,B279)</f>
        <v>0</v>
      </c>
      <c r="D279" s="30">
        <f>COUNTIFS('AT. MEDICAS 2024'!$A$9:$A$874,"02/11/2025",'AT. MEDICAS 2024'!$I$9:$I$874,B279)</f>
        <v>0</v>
      </c>
      <c r="E279" s="30">
        <f>COUNTIFS('AT. MEDICAS 2024'!$A$9:$A$874,"03/11/2025",'AT. MEDICAS 2024'!$I$9:$I$874,B279)</f>
        <v>0</v>
      </c>
      <c r="F279" s="30">
        <f>COUNTIFS('AT. MEDICAS 2024'!$A$9:$A$874,"04/11/2025",'AT. MEDICAS 2024'!$I$9:$I$874,B279)</f>
        <v>0</v>
      </c>
      <c r="G279" s="30">
        <f>COUNTIFS('AT. MEDICAS 2024'!$A$9:$A$874,"05/11/2025",'AT. MEDICAS 2024'!$I$9:$I$874,B279)</f>
        <v>0</v>
      </c>
      <c r="H279" s="30">
        <f>COUNTIFS('AT. MEDICAS 2024'!$A$9:$A$874,"06/11/2025",'AT. MEDICAS 2024'!$I$9:$I$874,B279)</f>
        <v>0</v>
      </c>
      <c r="I279" s="30">
        <f>COUNTIFS('AT. MEDICAS 2024'!$A$9:$A$874,"07/11/2025",'AT. MEDICAS 2024'!$I$9:$I$874,B279)</f>
        <v>0</v>
      </c>
      <c r="J279" s="30">
        <f>COUNTIFS('AT. MEDICAS 2024'!$A$9:$A$874,"08/11/2025",'AT. MEDICAS 2024'!$I$9:$I$874,B279)</f>
        <v>0</v>
      </c>
      <c r="K279" s="30">
        <f>COUNTIFS('AT. MEDICAS 2024'!$A$9:$A$874,"09/11/2025",'AT. MEDICAS 2024'!$I$9:$I$874,B279)</f>
        <v>0</v>
      </c>
      <c r="L279" s="30">
        <f>COUNTIFS('AT. MEDICAS 2024'!$A$9:$A$874,"10/11/2025",'AT. MEDICAS 2024'!$I$9:$I$874,B279)</f>
        <v>0</v>
      </c>
      <c r="M279" s="30">
        <f>COUNTIFS('AT. MEDICAS 2024'!$A$9:$A$874,"11/11/2025",'AT. MEDICAS 2024'!$I$9:$I$874,B279)</f>
        <v>0</v>
      </c>
      <c r="N279" s="30">
        <f>COUNTIFS('AT. MEDICAS 2024'!$A$9:$A$874,"12/11/2025",'AT. MEDICAS 2024'!$I$9:$I$874,B279)</f>
        <v>0</v>
      </c>
      <c r="O279" s="30">
        <f>COUNTIFS('AT. MEDICAS 2024'!$A$9:$A$874,"13/11/2025",'AT. MEDICAS 2024'!$I$9:$I$874,B279)</f>
        <v>0</v>
      </c>
      <c r="P279" s="30">
        <f>COUNTIFS('AT. MEDICAS 2024'!$A$9:$A$874,"14/11/2025",'AT. MEDICAS 2024'!$I$9:$I$874,B279)</f>
        <v>0</v>
      </c>
      <c r="Q279" s="30">
        <f>COUNTIFS('AT. MEDICAS 2024'!$A$9:$A$874,"15/11/2025",'AT. MEDICAS 2024'!$I$9:$I$874,B279)</f>
        <v>0</v>
      </c>
      <c r="R279" s="30">
        <f>COUNTIFS('AT. MEDICAS 2024'!$A$9:$A$874,"16/11/2025",'AT. MEDICAS 2024'!$I$9:$I$874,B279)</f>
        <v>0</v>
      </c>
      <c r="S279" s="30">
        <f>COUNTIFS('AT. MEDICAS 2024'!$A$9:$A$874,"17/11/2025",'AT. MEDICAS 2024'!$I$9:$I$874,B279)</f>
        <v>0</v>
      </c>
      <c r="T279" s="30">
        <f>COUNTIFS('AT. MEDICAS 2024'!$A$9:$A$874,"18/11/2025",'AT. MEDICAS 2024'!$I$9:$I$874,B279)</f>
        <v>0</v>
      </c>
      <c r="U279" s="30">
        <f>COUNTIFS('AT. MEDICAS 2024'!$A$9:$A$874,"19/11/2025",'AT. MEDICAS 2024'!$I$9:$I$874,B279)</f>
        <v>0</v>
      </c>
      <c r="V279" s="30">
        <f>COUNTIFS('AT. MEDICAS 2024'!$A$9:$A$874,"20/11/2025",'AT. MEDICAS 2024'!$I$9:$I$874,B279)</f>
        <v>0</v>
      </c>
      <c r="W279" s="30">
        <f>COUNTIFS('AT. MEDICAS 2024'!$A$9:$A$874,"21/11/2025",'AT. MEDICAS 2024'!$I$9:$I$874,B279)</f>
        <v>0</v>
      </c>
      <c r="X279" s="30">
        <f>COUNTIFS('AT. MEDICAS 2024'!$A$9:$A$874,"22/11/2025",'AT. MEDICAS 2024'!$I$9:$I$874,B279)</f>
        <v>0</v>
      </c>
      <c r="Y279" s="30">
        <f>COUNTIFS('AT. MEDICAS 2024'!$A$9:$A$874,"23/11/2025",'AT. MEDICAS 2024'!$I$9:$I$874,B279)</f>
        <v>0</v>
      </c>
      <c r="Z279" s="30">
        <f>COUNTIFS('AT. MEDICAS 2024'!$A$9:$A$874,"24/11/2025",'AT. MEDICAS 2024'!$I$9:$I$874,B279)</f>
        <v>0</v>
      </c>
      <c r="AA279" s="30">
        <f>COUNTIFS('AT. MEDICAS 2024'!$A$9:$A$874,"25/11/2025",'AT. MEDICAS 2024'!$I$9:$I$874,B279)</f>
        <v>0</v>
      </c>
      <c r="AB279" s="30">
        <f>COUNTIFS('AT. MEDICAS 2024'!$A$9:$A$874,"26/11/2025",'AT. MEDICAS 2024'!$I$9:$I$874,B279)</f>
        <v>0</v>
      </c>
      <c r="AC279" s="30">
        <f>COUNTIFS('AT. MEDICAS 2024'!$A$9:$A$874,"27/11/2025",'AT. MEDICAS 2024'!$I$9:$I$874,B279)</f>
        <v>0</v>
      </c>
      <c r="AD279" s="30">
        <f>COUNTIFS('AT. MEDICAS 2024'!$A$9:$A$874,"28/11/2025",'AT. MEDICAS 2024'!$I$9:$I$874,B279)</f>
        <v>0</v>
      </c>
      <c r="AE279" s="30">
        <f>COUNTIFS('AT. MEDICAS 2024'!$A$9:$A$874,"29/11/2025",'AT. MEDICAS 2024'!$I$9:$I$874,B279)</f>
        <v>0</v>
      </c>
      <c r="AF279" s="30">
        <f>COUNTIFS('AT. MEDICAS 2024'!$A$9:$A$874,"30/11/2025",'AT. MEDICAS 2024'!$I$9:$I$874,B279)</f>
        <v>0</v>
      </c>
      <c r="AG279" s="30"/>
      <c r="AH279" s="55">
        <f t="shared" si="31"/>
        <v>0</v>
      </c>
    </row>
    <row r="280" spans="1:34" ht="13.8" thickBot="1" x14ac:dyDescent="0.3">
      <c r="A280" s="41">
        <v>20</v>
      </c>
      <c r="B280" s="54" t="s">
        <v>31</v>
      </c>
      <c r="C280" s="30">
        <f>COUNTIFS('AT. MEDICAS 2024'!$A$9:$A$874,"01/11/2025",'AT. MEDICAS 2024'!$I$9:$I$874,B280)</f>
        <v>0</v>
      </c>
      <c r="D280" s="30">
        <f>COUNTIFS('AT. MEDICAS 2024'!$A$9:$A$874,"02/11/2025",'AT. MEDICAS 2024'!$I$9:$I$874,B280)</f>
        <v>0</v>
      </c>
      <c r="E280" s="30">
        <f>COUNTIFS('AT. MEDICAS 2024'!$A$9:$A$874,"03/11/2025",'AT. MEDICAS 2024'!$I$9:$I$874,B280)</f>
        <v>0</v>
      </c>
      <c r="F280" s="30">
        <f>COUNTIFS('AT. MEDICAS 2024'!$A$9:$A$874,"04/11/2025",'AT. MEDICAS 2024'!$I$9:$I$874,B280)</f>
        <v>0</v>
      </c>
      <c r="G280" s="30">
        <f>COUNTIFS('AT. MEDICAS 2024'!$A$9:$A$874,"05/11/2025",'AT. MEDICAS 2024'!$I$9:$I$874,B280)</f>
        <v>0</v>
      </c>
      <c r="H280" s="30">
        <f>COUNTIFS('AT. MEDICAS 2024'!$A$9:$A$874,"06/11/2025",'AT. MEDICAS 2024'!$I$9:$I$874,B280)</f>
        <v>0</v>
      </c>
      <c r="I280" s="30">
        <f>COUNTIFS('AT. MEDICAS 2024'!$A$9:$A$874,"07/11/2025",'AT. MEDICAS 2024'!$I$9:$I$874,B280)</f>
        <v>0</v>
      </c>
      <c r="J280" s="30">
        <f>COUNTIFS('AT. MEDICAS 2024'!$A$9:$A$874,"08/11/2025",'AT. MEDICAS 2024'!$I$9:$I$874,B280)</f>
        <v>0</v>
      </c>
      <c r="K280" s="30">
        <f>COUNTIFS('AT. MEDICAS 2024'!$A$9:$A$874,"09/11/2025",'AT. MEDICAS 2024'!$I$9:$I$874,B280)</f>
        <v>0</v>
      </c>
      <c r="L280" s="30">
        <f>COUNTIFS('AT. MEDICAS 2024'!$A$9:$A$874,"10/11/2025",'AT. MEDICAS 2024'!$I$9:$I$874,B280)</f>
        <v>0</v>
      </c>
      <c r="M280" s="30">
        <f>COUNTIFS('AT. MEDICAS 2024'!$A$9:$A$874,"11/11/2025",'AT. MEDICAS 2024'!$I$9:$I$874,B280)</f>
        <v>0</v>
      </c>
      <c r="N280" s="30">
        <f>COUNTIFS('AT. MEDICAS 2024'!$A$9:$A$874,"12/11/2025",'AT. MEDICAS 2024'!$I$9:$I$874,B280)</f>
        <v>0</v>
      </c>
      <c r="O280" s="30">
        <f>COUNTIFS('AT. MEDICAS 2024'!$A$9:$A$874,"13/11/2025",'AT. MEDICAS 2024'!$I$9:$I$874,B280)</f>
        <v>0</v>
      </c>
      <c r="P280" s="30">
        <f>COUNTIFS('AT. MEDICAS 2024'!$A$9:$A$874,"14/11/2025",'AT. MEDICAS 2024'!$I$9:$I$874,B280)</f>
        <v>0</v>
      </c>
      <c r="Q280" s="30">
        <f>COUNTIFS('AT. MEDICAS 2024'!$A$9:$A$874,"15/11/2025",'AT. MEDICAS 2024'!$I$9:$I$874,B280)</f>
        <v>0</v>
      </c>
      <c r="R280" s="30">
        <f>COUNTIFS('AT. MEDICAS 2024'!$A$9:$A$874,"16/11/2025",'AT. MEDICAS 2024'!$I$9:$I$874,B280)</f>
        <v>0</v>
      </c>
      <c r="S280" s="30">
        <f>COUNTIFS('AT. MEDICAS 2024'!$A$9:$A$874,"17/11/2025",'AT. MEDICAS 2024'!$I$9:$I$874,B280)</f>
        <v>0</v>
      </c>
      <c r="T280" s="30">
        <f>COUNTIFS('AT. MEDICAS 2024'!$A$9:$A$874,"18/11/2025",'AT. MEDICAS 2024'!$I$9:$I$874,B280)</f>
        <v>0</v>
      </c>
      <c r="U280" s="30">
        <f>COUNTIFS('AT. MEDICAS 2024'!$A$9:$A$874,"19/11/2025",'AT. MEDICAS 2024'!$I$9:$I$874,B280)</f>
        <v>0</v>
      </c>
      <c r="V280" s="30">
        <f>COUNTIFS('AT. MEDICAS 2024'!$A$9:$A$874,"20/11/2025",'AT. MEDICAS 2024'!$I$9:$I$874,B280)</f>
        <v>0</v>
      </c>
      <c r="W280" s="30">
        <f>COUNTIFS('AT. MEDICAS 2024'!$A$9:$A$874,"21/11/2025",'AT. MEDICAS 2024'!$I$9:$I$874,B280)</f>
        <v>0</v>
      </c>
      <c r="X280" s="30">
        <f>COUNTIFS('AT. MEDICAS 2024'!$A$9:$A$874,"22/11/2025",'AT. MEDICAS 2024'!$I$9:$I$874,B280)</f>
        <v>0</v>
      </c>
      <c r="Y280" s="30">
        <f>COUNTIFS('AT. MEDICAS 2024'!$A$9:$A$874,"23/11/2025",'AT. MEDICAS 2024'!$I$9:$I$874,B280)</f>
        <v>0</v>
      </c>
      <c r="Z280" s="30">
        <f>COUNTIFS('AT. MEDICAS 2024'!$A$9:$A$874,"24/11/2025",'AT. MEDICAS 2024'!$I$9:$I$874,B280)</f>
        <v>0</v>
      </c>
      <c r="AA280" s="30">
        <f>COUNTIFS('AT. MEDICAS 2024'!$A$9:$A$874,"25/11/2025",'AT. MEDICAS 2024'!$I$9:$I$874,B280)</f>
        <v>0</v>
      </c>
      <c r="AB280" s="30">
        <f>COUNTIFS('AT. MEDICAS 2024'!$A$9:$A$874,"26/11/2025",'AT. MEDICAS 2024'!$I$9:$I$874,B280)</f>
        <v>0</v>
      </c>
      <c r="AC280" s="30">
        <f>COUNTIFS('AT. MEDICAS 2024'!$A$9:$A$874,"27/11/2025",'AT. MEDICAS 2024'!$I$9:$I$874,B280)</f>
        <v>0</v>
      </c>
      <c r="AD280" s="30">
        <f>COUNTIFS('AT. MEDICAS 2024'!$A$9:$A$874,"28/11/2025",'AT. MEDICAS 2024'!$I$9:$I$874,B280)</f>
        <v>0</v>
      </c>
      <c r="AE280" s="30">
        <f>COUNTIFS('AT. MEDICAS 2024'!$A$9:$A$874,"29/11/2025",'AT. MEDICAS 2024'!$I$9:$I$874,B280)</f>
        <v>0</v>
      </c>
      <c r="AF280" s="30">
        <f>COUNTIFS('AT. MEDICAS 2024'!$A$9:$A$874,"30/11/2025",'AT. MEDICAS 2024'!$I$9:$I$874,B280)</f>
        <v>0</v>
      </c>
      <c r="AG280" s="30"/>
      <c r="AH280" s="55">
        <f t="shared" si="31"/>
        <v>0</v>
      </c>
    </row>
    <row r="281" spans="1:34" ht="18.600000000000001" customHeight="1" thickBot="1" x14ac:dyDescent="0.3">
      <c r="A281" s="92"/>
      <c r="B281" s="93"/>
      <c r="C281" s="55">
        <f>SUM(C261:C280)</f>
        <v>0</v>
      </c>
      <c r="D281" s="55">
        <f t="shared" ref="D281:AE281" si="32">SUM(D261:D280)</f>
        <v>0</v>
      </c>
      <c r="E281" s="55">
        <f t="shared" si="32"/>
        <v>0</v>
      </c>
      <c r="F281" s="55">
        <f t="shared" si="32"/>
        <v>0</v>
      </c>
      <c r="G281" s="55">
        <f t="shared" si="32"/>
        <v>0</v>
      </c>
      <c r="H281" s="55">
        <f t="shared" si="32"/>
        <v>0</v>
      </c>
      <c r="I281" s="55">
        <f t="shared" si="32"/>
        <v>0</v>
      </c>
      <c r="J281" s="55">
        <f t="shared" si="32"/>
        <v>0</v>
      </c>
      <c r="K281" s="55">
        <f t="shared" si="32"/>
        <v>0</v>
      </c>
      <c r="L281" s="55">
        <f t="shared" si="32"/>
        <v>0</v>
      </c>
      <c r="M281" s="55">
        <f t="shared" si="32"/>
        <v>0</v>
      </c>
      <c r="N281" s="55">
        <f t="shared" si="32"/>
        <v>0</v>
      </c>
      <c r="O281" s="55">
        <f t="shared" si="32"/>
        <v>0</v>
      </c>
      <c r="P281" s="55">
        <f t="shared" si="32"/>
        <v>0</v>
      </c>
      <c r="Q281" s="55">
        <f t="shared" si="32"/>
        <v>0</v>
      </c>
      <c r="R281" s="55">
        <f t="shared" si="32"/>
        <v>0</v>
      </c>
      <c r="S281" s="55">
        <f t="shared" si="32"/>
        <v>0</v>
      </c>
      <c r="T281" s="55">
        <f t="shared" si="32"/>
        <v>0</v>
      </c>
      <c r="U281" s="55">
        <f t="shared" si="32"/>
        <v>0</v>
      </c>
      <c r="V281" s="55">
        <f t="shared" si="32"/>
        <v>0</v>
      </c>
      <c r="W281" s="55">
        <f t="shared" si="32"/>
        <v>0</v>
      </c>
      <c r="X281" s="55">
        <f t="shared" si="32"/>
        <v>0</v>
      </c>
      <c r="Y281" s="55">
        <f t="shared" si="32"/>
        <v>0</v>
      </c>
      <c r="Z281" s="55">
        <f t="shared" si="32"/>
        <v>0</v>
      </c>
      <c r="AA281" s="55">
        <f t="shared" si="32"/>
        <v>0</v>
      </c>
      <c r="AB281" s="55">
        <f t="shared" si="32"/>
        <v>0</v>
      </c>
      <c r="AC281" s="55">
        <f t="shared" si="32"/>
        <v>0</v>
      </c>
      <c r="AD281" s="55">
        <f t="shared" si="32"/>
        <v>0</v>
      </c>
      <c r="AE281" s="55">
        <f t="shared" si="32"/>
        <v>0</v>
      </c>
      <c r="AF281" s="55">
        <f>SUM(AF261:AF280)</f>
        <v>0</v>
      </c>
      <c r="AG281" s="55">
        <f>SUM(AG261:AG280)</f>
        <v>0</v>
      </c>
      <c r="AH281" s="30">
        <f>SUM(AH261:AH280)</f>
        <v>0</v>
      </c>
    </row>
    <row r="283" spans="1:34" ht="27.6" customHeight="1" x14ac:dyDescent="0.25">
      <c r="A283" s="92" t="s">
        <v>174</v>
      </c>
      <c r="B283" s="93"/>
      <c r="C283" s="111">
        <v>45992</v>
      </c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  <c r="AA283" s="112"/>
      <c r="AB283" s="112"/>
      <c r="AC283" s="112"/>
      <c r="AD283" s="112"/>
      <c r="AE283" s="112"/>
      <c r="AF283" s="112"/>
      <c r="AG283" s="112"/>
      <c r="AH283" s="113" t="s">
        <v>178</v>
      </c>
    </row>
    <row r="284" spans="1:34" ht="13.8" thickBot="1" x14ac:dyDescent="0.3">
      <c r="A284" s="115" t="s">
        <v>175</v>
      </c>
      <c r="B284" s="115" t="s">
        <v>176</v>
      </c>
      <c r="C284" s="45">
        <v>1</v>
      </c>
      <c r="D284" s="45">
        <v>2</v>
      </c>
      <c r="E284" s="45">
        <v>3</v>
      </c>
      <c r="F284" s="45">
        <v>4</v>
      </c>
      <c r="G284" s="45">
        <v>5</v>
      </c>
      <c r="H284" s="45">
        <v>6</v>
      </c>
      <c r="I284" s="45">
        <v>7</v>
      </c>
      <c r="J284" s="45">
        <v>8</v>
      </c>
      <c r="K284" s="45">
        <v>9</v>
      </c>
      <c r="L284" s="45">
        <v>10</v>
      </c>
      <c r="M284" s="45">
        <v>11</v>
      </c>
      <c r="N284" s="45">
        <v>12</v>
      </c>
      <c r="O284" s="45">
        <v>13</v>
      </c>
      <c r="P284" s="45">
        <v>14</v>
      </c>
      <c r="Q284" s="45">
        <v>15</v>
      </c>
      <c r="R284" s="45">
        <v>16</v>
      </c>
      <c r="S284" s="45">
        <v>17</v>
      </c>
      <c r="T284" s="45">
        <v>18</v>
      </c>
      <c r="U284" s="45">
        <v>19</v>
      </c>
      <c r="V284" s="45">
        <v>20</v>
      </c>
      <c r="W284" s="45">
        <v>21</v>
      </c>
      <c r="X284" s="45">
        <v>22</v>
      </c>
      <c r="Y284" s="45">
        <v>23</v>
      </c>
      <c r="Z284" s="45">
        <v>24</v>
      </c>
      <c r="AA284" s="45">
        <v>25</v>
      </c>
      <c r="AB284" s="45">
        <v>26</v>
      </c>
      <c r="AC284" s="45">
        <v>27</v>
      </c>
      <c r="AD284" s="45">
        <v>28</v>
      </c>
      <c r="AE284" s="45">
        <v>29</v>
      </c>
      <c r="AF284" s="45">
        <v>30</v>
      </c>
      <c r="AG284" s="45" t="s">
        <v>177</v>
      </c>
      <c r="AH284" s="114"/>
    </row>
    <row r="285" spans="1:34" ht="13.8" thickBot="1" x14ac:dyDescent="0.3">
      <c r="A285" s="116"/>
      <c r="B285" s="116"/>
      <c r="C285" s="28" t="s">
        <v>179</v>
      </c>
      <c r="D285" s="28" t="s">
        <v>24</v>
      </c>
      <c r="E285" s="28" t="s">
        <v>24</v>
      </c>
      <c r="F285" s="28" t="s">
        <v>180</v>
      </c>
      <c r="G285" s="28" t="s">
        <v>181</v>
      </c>
      <c r="H285" s="28" t="s">
        <v>182</v>
      </c>
      <c r="I285" s="28" t="s">
        <v>183</v>
      </c>
      <c r="J285" s="28" t="s">
        <v>179</v>
      </c>
      <c r="K285" s="28" t="s">
        <v>24</v>
      </c>
      <c r="L285" s="28" t="s">
        <v>24</v>
      </c>
      <c r="M285" s="28" t="s">
        <v>180</v>
      </c>
      <c r="N285" s="28" t="s">
        <v>181</v>
      </c>
      <c r="O285" s="28" t="s">
        <v>182</v>
      </c>
      <c r="P285" s="28" t="s">
        <v>183</v>
      </c>
      <c r="Q285" s="28" t="s">
        <v>179</v>
      </c>
      <c r="R285" s="28" t="s">
        <v>24</v>
      </c>
      <c r="S285" s="28" t="s">
        <v>24</v>
      </c>
      <c r="T285" s="28" t="s">
        <v>180</v>
      </c>
      <c r="U285" s="28" t="s">
        <v>181</v>
      </c>
      <c r="V285" s="28" t="s">
        <v>182</v>
      </c>
      <c r="W285" s="28" t="s">
        <v>183</v>
      </c>
      <c r="X285" s="28" t="s">
        <v>179</v>
      </c>
      <c r="Y285" s="28" t="s">
        <v>24</v>
      </c>
      <c r="Z285" s="28" t="s">
        <v>24</v>
      </c>
      <c r="AA285" s="28" t="s">
        <v>180</v>
      </c>
      <c r="AB285" s="28" t="s">
        <v>181</v>
      </c>
      <c r="AC285" s="28" t="s">
        <v>182</v>
      </c>
      <c r="AD285" s="28" t="s">
        <v>183</v>
      </c>
      <c r="AE285" s="28" t="s">
        <v>179</v>
      </c>
      <c r="AF285" s="28" t="s">
        <v>24</v>
      </c>
      <c r="AG285" s="28" t="s">
        <v>24</v>
      </c>
      <c r="AH285" s="17" t="s">
        <v>184</v>
      </c>
    </row>
    <row r="286" spans="1:34" ht="13.8" thickBot="1" x14ac:dyDescent="0.3">
      <c r="A286" s="41">
        <v>1</v>
      </c>
      <c r="B286" s="54" t="s">
        <v>185</v>
      </c>
      <c r="C286" s="30">
        <f>COUNTIFS('AT. MEDICAS 2024'!$A$9:$A$874,"01/12/2025",'AT. MEDICAS 2024'!$I$9:$I$874,B286)</f>
        <v>0</v>
      </c>
      <c r="D286" s="30">
        <f>COUNTIFS('AT. MEDICAS 2024'!$A$9:$A$874,"02/12/2025",'AT. MEDICAS 2024'!$I$9:$I$874,B286)</f>
        <v>0</v>
      </c>
      <c r="E286" s="30">
        <f>COUNTIFS('AT. MEDICAS 2024'!$A$9:$A$874,"03/12/2025",'AT. MEDICAS 2024'!$I$9:$I$874,B286)</f>
        <v>0</v>
      </c>
      <c r="F286" s="30">
        <f>COUNTIFS('AT. MEDICAS 2024'!$A$9:$A$874,"04/12/2025",'AT. MEDICAS 2024'!$I$9:$I$874,B286)</f>
        <v>0</v>
      </c>
      <c r="G286" s="30">
        <f>COUNTIFS('AT. MEDICAS 2024'!$A$9:$A$874,"05/12/2025",'AT. MEDICAS 2024'!$I$9:$I$874,B286)</f>
        <v>0</v>
      </c>
      <c r="H286" s="30">
        <f>COUNTIFS('AT. MEDICAS 2024'!$A$9:$A$874,"06/12/2025",'AT. MEDICAS 2024'!$I$9:$I$874,B286)</f>
        <v>0</v>
      </c>
      <c r="I286" s="30">
        <f>COUNTIFS('AT. MEDICAS 2024'!$A$9:$A$874,"07/12/2025",'AT. MEDICAS 2024'!$I$9:$I$874,B286)</f>
        <v>0</v>
      </c>
      <c r="J286" s="30">
        <f>COUNTIFS('AT. MEDICAS 2024'!$A$9:$A$874,"08/12/2025",'AT. MEDICAS 2024'!$I$9:$I$874,B286)</f>
        <v>0</v>
      </c>
      <c r="K286" s="30">
        <f>COUNTIFS('AT. MEDICAS 2024'!$A$9:$A$874,"09/12/2025",'AT. MEDICAS 2024'!$I$9:$I$874,B286)</f>
        <v>0</v>
      </c>
      <c r="L286" s="30">
        <f>COUNTIFS('AT. MEDICAS 2024'!$A$9:$A$874,"10/12/2025",'AT. MEDICAS 2024'!$I$9:$I$874,B286)</f>
        <v>0</v>
      </c>
      <c r="M286" s="30">
        <f>COUNTIFS('AT. MEDICAS 2024'!$A$9:$A$874,"11/12/2025",'AT. MEDICAS 2024'!$I$9:$I$874,B286)</f>
        <v>0</v>
      </c>
      <c r="N286" s="30">
        <f>COUNTIFS('AT. MEDICAS 2024'!$A$9:$A$874,"12/12/2025",'AT. MEDICAS 2024'!$I$9:$I$874,B286)</f>
        <v>0</v>
      </c>
      <c r="O286" s="30">
        <f>COUNTIFS('AT. MEDICAS 2024'!$A$9:$A$874,"13/12/2025",'AT. MEDICAS 2024'!$I$9:$I$874,B286)</f>
        <v>0</v>
      </c>
      <c r="P286" s="30">
        <f>COUNTIFS('AT. MEDICAS 2024'!$A$9:$A$874,"14/12/2025",'AT. MEDICAS 2024'!$I$9:$I$874,B286)</f>
        <v>0</v>
      </c>
      <c r="Q286" s="30">
        <f>COUNTIFS('AT. MEDICAS 2024'!$A$9:$A$874,"15/12/2025",'AT. MEDICAS 2024'!$I$9:$I$874,B286)</f>
        <v>0</v>
      </c>
      <c r="R286" s="30">
        <f>COUNTIFS('AT. MEDICAS 2024'!$A$9:$A$874,"16/12/2025",'AT. MEDICAS 2024'!$I$9:$I$874,B286)</f>
        <v>0</v>
      </c>
      <c r="S286" s="30">
        <f>COUNTIFS('AT. MEDICAS 2024'!$A$9:$A$874,"17/12/2025",'AT. MEDICAS 2024'!$I$9:$I$874,B286)</f>
        <v>0</v>
      </c>
      <c r="T286" s="30">
        <f>COUNTIFS('AT. MEDICAS 2024'!$A$9:$A$874,"18/12/2025",'AT. MEDICAS 2024'!$I$9:$I$874,B286)</f>
        <v>0</v>
      </c>
      <c r="U286" s="30">
        <f>COUNTIFS('AT. MEDICAS 2024'!$A$9:$A$874,"19/12/2025",'AT. MEDICAS 2024'!$I$9:$I$874,B286)</f>
        <v>0</v>
      </c>
      <c r="V286" s="30">
        <f>COUNTIFS('AT. MEDICAS 2024'!$A$9:$A$874,"20/12/2025",'AT. MEDICAS 2024'!$I$9:$I$874,B286)</f>
        <v>0</v>
      </c>
      <c r="W286" s="30">
        <f>COUNTIFS('AT. MEDICAS 2024'!$A$9:$A$874,"21/12/2025",'AT. MEDICAS 2024'!$I$9:$I$874,B286)</f>
        <v>0</v>
      </c>
      <c r="X286" s="30">
        <f>COUNTIFS('AT. MEDICAS 2024'!$A$9:$A$874,"22/12/2025",'AT. MEDICAS 2024'!$I$9:$I$874,B286)</f>
        <v>0</v>
      </c>
      <c r="Y286" s="30">
        <f>COUNTIFS('AT. MEDICAS 2024'!$A$9:$A$874,"23/12/2025",'AT. MEDICAS 2024'!$I$9:$I$874,B286)</f>
        <v>0</v>
      </c>
      <c r="Z286" s="30">
        <f>COUNTIFS('AT. MEDICAS 2024'!$A$9:$A$874,"24/12/2025",'AT. MEDICAS 2024'!$I$9:$I$874,B286)</f>
        <v>0</v>
      </c>
      <c r="AA286" s="30">
        <f>COUNTIFS('AT. MEDICAS 2024'!$A$9:$A$874,"25/12/2025",'AT. MEDICAS 2024'!$I$9:$I$874,B286)</f>
        <v>0</v>
      </c>
      <c r="AB286" s="30">
        <f>COUNTIFS('AT. MEDICAS 2024'!$A$9:$A$874,"26/12/2025",'AT. MEDICAS 2024'!$I$9:$I$874,B286)</f>
        <v>0</v>
      </c>
      <c r="AC286" s="30">
        <f>COUNTIFS('AT. MEDICAS 2024'!$A$9:$A$874,"27/12/2025",'AT. MEDICAS 2024'!$I$9:$I$874,B286)</f>
        <v>0</v>
      </c>
      <c r="AD286" s="30">
        <f>COUNTIFS('AT. MEDICAS 2024'!$A$9:$A$874,"28/12/2025",'AT. MEDICAS 2024'!$I$9:$I$874,B286)</f>
        <v>0</v>
      </c>
      <c r="AE286" s="30">
        <f>COUNTIFS('AT. MEDICAS 2024'!$A$9:$A$874,"29/12/2025",'AT. MEDICAS 2024'!$I$9:$I$874,B286)</f>
        <v>0</v>
      </c>
      <c r="AF286" s="30">
        <f>COUNTIFS('AT. MEDICAS 2024'!$A$9:$A$874,"30/12/2025",'AT. MEDICAS 2024'!$I$9:$I$874,B286)</f>
        <v>0</v>
      </c>
      <c r="AG286" s="30">
        <f>COUNTIFS('AT. MEDICAS 2024'!$A$9:$A$874,"31/12/2025",'AT. MEDICAS 2024'!$I$9:$I$874,B286)</f>
        <v>0</v>
      </c>
      <c r="AH286" s="55">
        <f t="shared" ref="AH286:AH305" si="33">SUM(C286:AG286)</f>
        <v>0</v>
      </c>
    </row>
    <row r="287" spans="1:34" ht="13.8" thickBot="1" x14ac:dyDescent="0.3">
      <c r="A287" s="41">
        <v>2</v>
      </c>
      <c r="B287" s="54" t="s">
        <v>186</v>
      </c>
      <c r="C287" s="30">
        <f>COUNTIFS('AT. MEDICAS 2024'!$A$9:$A$874,"01/12/2025",'AT. MEDICAS 2024'!$I$9:$I$874,B287)</f>
        <v>0</v>
      </c>
      <c r="D287" s="30">
        <f>COUNTIFS('AT. MEDICAS 2024'!$A$9:$A$874,"02/12/2025",'AT. MEDICAS 2024'!$I$9:$I$874,B287)</f>
        <v>0</v>
      </c>
      <c r="E287" s="30">
        <f>COUNTIFS('AT. MEDICAS 2024'!$A$9:$A$874,"03/12/2025",'AT. MEDICAS 2024'!$I$9:$I$874,B287)</f>
        <v>0</v>
      </c>
      <c r="F287" s="30">
        <f>COUNTIFS('AT. MEDICAS 2024'!$A$9:$A$874,"04/12/2025",'AT. MEDICAS 2024'!$I$9:$I$874,B287)</f>
        <v>0</v>
      </c>
      <c r="G287" s="30">
        <f>COUNTIFS('AT. MEDICAS 2024'!$A$9:$A$874,"05/12/2025",'AT. MEDICAS 2024'!$I$9:$I$874,B287)</f>
        <v>0</v>
      </c>
      <c r="H287" s="30">
        <f>COUNTIFS('AT. MEDICAS 2024'!$A$9:$A$874,"06/12/2025",'AT. MEDICAS 2024'!$I$9:$I$874,B287)</f>
        <v>0</v>
      </c>
      <c r="I287" s="30">
        <f>COUNTIFS('AT. MEDICAS 2024'!$A$9:$A$874,"07/12/2025",'AT. MEDICAS 2024'!$I$9:$I$874,B287)</f>
        <v>0</v>
      </c>
      <c r="J287" s="30">
        <f>COUNTIFS('AT. MEDICAS 2024'!$A$9:$A$874,"08/12/2025",'AT. MEDICAS 2024'!$I$9:$I$874,B287)</f>
        <v>0</v>
      </c>
      <c r="K287" s="30">
        <f>COUNTIFS('AT. MEDICAS 2024'!$A$9:$A$874,"09/12/2025",'AT. MEDICAS 2024'!$I$9:$I$874,B287)</f>
        <v>0</v>
      </c>
      <c r="L287" s="30">
        <f>COUNTIFS('AT. MEDICAS 2024'!$A$9:$A$874,"10/12/2025",'AT. MEDICAS 2024'!$I$9:$I$874,B287)</f>
        <v>0</v>
      </c>
      <c r="M287" s="30">
        <f>COUNTIFS('AT. MEDICAS 2024'!$A$9:$A$874,"11/12/2025",'AT. MEDICAS 2024'!$I$9:$I$874,B287)</f>
        <v>0</v>
      </c>
      <c r="N287" s="30">
        <f>COUNTIFS('AT. MEDICAS 2024'!$A$9:$A$874,"12/12/2025",'AT. MEDICAS 2024'!$I$9:$I$874,B287)</f>
        <v>0</v>
      </c>
      <c r="O287" s="30">
        <f>COUNTIFS('AT. MEDICAS 2024'!$A$9:$A$874,"13/12/2025",'AT. MEDICAS 2024'!$I$9:$I$874,B287)</f>
        <v>0</v>
      </c>
      <c r="P287" s="30">
        <f>COUNTIFS('AT. MEDICAS 2024'!$A$9:$A$874,"14/12/2025",'AT. MEDICAS 2024'!$I$9:$I$874,B287)</f>
        <v>0</v>
      </c>
      <c r="Q287" s="30">
        <f>COUNTIFS('AT. MEDICAS 2024'!$A$9:$A$874,"15/12/2025",'AT. MEDICAS 2024'!$I$9:$I$874,B287)</f>
        <v>0</v>
      </c>
      <c r="R287" s="30">
        <f>COUNTIFS('AT. MEDICAS 2024'!$A$9:$A$874,"16/12/2025",'AT. MEDICAS 2024'!$I$9:$I$874,B287)</f>
        <v>0</v>
      </c>
      <c r="S287" s="30">
        <f>COUNTIFS('AT. MEDICAS 2024'!$A$9:$A$874,"17/12/2025",'AT. MEDICAS 2024'!$I$9:$I$874,B287)</f>
        <v>0</v>
      </c>
      <c r="T287" s="30">
        <f>COUNTIFS('AT. MEDICAS 2024'!$A$9:$A$874,"18/12/2025",'AT. MEDICAS 2024'!$I$9:$I$874,B287)</f>
        <v>0</v>
      </c>
      <c r="U287" s="30">
        <f>COUNTIFS('AT. MEDICAS 2024'!$A$9:$A$874,"19/12/2025",'AT. MEDICAS 2024'!$I$9:$I$874,B287)</f>
        <v>0</v>
      </c>
      <c r="V287" s="30">
        <f>COUNTIFS('AT. MEDICAS 2024'!$A$9:$A$874,"20/12/2025",'AT. MEDICAS 2024'!$I$9:$I$874,B287)</f>
        <v>0</v>
      </c>
      <c r="W287" s="30">
        <f>COUNTIFS('AT. MEDICAS 2024'!$A$9:$A$874,"21/12/2025",'AT. MEDICAS 2024'!$I$9:$I$874,B287)</f>
        <v>0</v>
      </c>
      <c r="X287" s="30">
        <f>COUNTIFS('AT. MEDICAS 2024'!$A$9:$A$874,"22/12/2025",'AT. MEDICAS 2024'!$I$9:$I$874,B287)</f>
        <v>0</v>
      </c>
      <c r="Y287" s="30">
        <f>COUNTIFS('AT. MEDICAS 2024'!$A$9:$A$874,"23/12/2025",'AT. MEDICAS 2024'!$I$9:$I$874,B287)</f>
        <v>0</v>
      </c>
      <c r="Z287" s="30">
        <f>COUNTIFS('AT. MEDICAS 2024'!$A$9:$A$874,"24/12/2025",'AT. MEDICAS 2024'!$I$9:$I$874,B287)</f>
        <v>0</v>
      </c>
      <c r="AA287" s="30">
        <f>COUNTIFS('AT. MEDICAS 2024'!$A$9:$A$874,"25/12/2025",'AT. MEDICAS 2024'!$I$9:$I$874,B287)</f>
        <v>0</v>
      </c>
      <c r="AB287" s="30">
        <f>COUNTIFS('AT. MEDICAS 2024'!$A$9:$A$874,"26/12/2025",'AT. MEDICAS 2024'!$I$9:$I$874,B287)</f>
        <v>0</v>
      </c>
      <c r="AC287" s="30">
        <f>COUNTIFS('AT. MEDICAS 2024'!$A$9:$A$874,"27/12/2025",'AT. MEDICAS 2024'!$I$9:$I$874,B287)</f>
        <v>0</v>
      </c>
      <c r="AD287" s="30">
        <f>COUNTIFS('AT. MEDICAS 2024'!$A$9:$A$874,"28/12/2025",'AT. MEDICAS 2024'!$I$9:$I$874,B287)</f>
        <v>0</v>
      </c>
      <c r="AE287" s="30">
        <f>COUNTIFS('AT. MEDICAS 2024'!$A$9:$A$874,"29/12/2025",'AT. MEDICAS 2024'!$I$9:$I$874,B287)</f>
        <v>0</v>
      </c>
      <c r="AF287" s="30">
        <f>COUNTIFS('AT. MEDICAS 2024'!$A$9:$A$874,"30/12/2025",'AT. MEDICAS 2024'!$I$9:$I$874,B287)</f>
        <v>0</v>
      </c>
      <c r="AG287" s="30">
        <f>COUNTIFS('AT. MEDICAS 2024'!$A$9:$A$874,"31/12/2025",'AT. MEDICAS 2024'!$I$9:$I$874,B287)</f>
        <v>0</v>
      </c>
      <c r="AH287" s="55">
        <f t="shared" si="33"/>
        <v>0</v>
      </c>
    </row>
    <row r="288" spans="1:34" ht="13.8" thickBot="1" x14ac:dyDescent="0.3">
      <c r="A288" s="41">
        <v>3</v>
      </c>
      <c r="B288" s="54" t="s">
        <v>94</v>
      </c>
      <c r="C288" s="30">
        <f>COUNTIFS('AT. MEDICAS 2024'!$A$9:$A$874,"01/12/2025",'AT. MEDICAS 2024'!$I$9:$I$874,B288)</f>
        <v>0</v>
      </c>
      <c r="D288" s="30">
        <f>COUNTIFS('AT. MEDICAS 2024'!$A$9:$A$874,"02/12/2025",'AT. MEDICAS 2024'!$I$9:$I$874,B288)</f>
        <v>0</v>
      </c>
      <c r="E288" s="30">
        <f>COUNTIFS('AT. MEDICAS 2024'!$A$9:$A$874,"03/12/2025",'AT. MEDICAS 2024'!$I$9:$I$874,B288)</f>
        <v>0</v>
      </c>
      <c r="F288" s="30">
        <f>COUNTIFS('AT. MEDICAS 2024'!$A$9:$A$874,"04/12/2025",'AT. MEDICAS 2024'!$I$9:$I$874,B288)</f>
        <v>0</v>
      </c>
      <c r="G288" s="30">
        <f>COUNTIFS('AT. MEDICAS 2024'!$A$9:$A$874,"05/12/2025",'AT. MEDICAS 2024'!$I$9:$I$874,B288)</f>
        <v>0</v>
      </c>
      <c r="H288" s="30">
        <f>COUNTIFS('AT. MEDICAS 2024'!$A$9:$A$874,"06/12/2025",'AT. MEDICAS 2024'!$I$9:$I$874,B288)</f>
        <v>0</v>
      </c>
      <c r="I288" s="30">
        <f>COUNTIFS('AT. MEDICAS 2024'!$A$9:$A$874,"07/12/2025",'AT. MEDICAS 2024'!$I$9:$I$874,B288)</f>
        <v>0</v>
      </c>
      <c r="J288" s="30">
        <f>COUNTIFS('AT. MEDICAS 2024'!$A$9:$A$874,"08/12/2025",'AT. MEDICAS 2024'!$I$9:$I$874,B288)</f>
        <v>0</v>
      </c>
      <c r="K288" s="30">
        <f>COUNTIFS('AT. MEDICAS 2024'!$A$9:$A$874,"09/12/2025",'AT. MEDICAS 2024'!$I$9:$I$874,B288)</f>
        <v>0</v>
      </c>
      <c r="L288" s="30">
        <f>COUNTIFS('AT. MEDICAS 2024'!$A$9:$A$874,"10/12/2025",'AT. MEDICAS 2024'!$I$9:$I$874,B288)</f>
        <v>0</v>
      </c>
      <c r="M288" s="30">
        <f>COUNTIFS('AT. MEDICAS 2024'!$A$9:$A$874,"11/12/2025",'AT. MEDICAS 2024'!$I$9:$I$874,B288)</f>
        <v>0</v>
      </c>
      <c r="N288" s="30">
        <f>COUNTIFS('AT. MEDICAS 2024'!$A$9:$A$874,"12/12/2025",'AT. MEDICAS 2024'!$I$9:$I$874,B288)</f>
        <v>0</v>
      </c>
      <c r="O288" s="30">
        <f>COUNTIFS('AT. MEDICAS 2024'!$A$9:$A$874,"13/12/2025",'AT. MEDICAS 2024'!$I$9:$I$874,B288)</f>
        <v>0</v>
      </c>
      <c r="P288" s="30">
        <f>COUNTIFS('AT. MEDICAS 2024'!$A$9:$A$874,"14/12/2025",'AT. MEDICAS 2024'!$I$9:$I$874,B288)</f>
        <v>0</v>
      </c>
      <c r="Q288" s="30">
        <f>COUNTIFS('AT. MEDICAS 2024'!$A$9:$A$874,"15/12/2025",'AT. MEDICAS 2024'!$I$9:$I$874,B288)</f>
        <v>0</v>
      </c>
      <c r="R288" s="30">
        <f>COUNTIFS('AT. MEDICAS 2024'!$A$9:$A$874,"16/12/2025",'AT. MEDICAS 2024'!$I$9:$I$874,B288)</f>
        <v>0</v>
      </c>
      <c r="S288" s="30">
        <f>COUNTIFS('AT. MEDICAS 2024'!$A$9:$A$874,"17/12/2025",'AT. MEDICAS 2024'!$I$9:$I$874,B288)</f>
        <v>0</v>
      </c>
      <c r="T288" s="30">
        <f>COUNTIFS('AT. MEDICAS 2024'!$A$9:$A$874,"18/12/2025",'AT. MEDICAS 2024'!$I$9:$I$874,B288)</f>
        <v>0</v>
      </c>
      <c r="U288" s="30">
        <f>COUNTIFS('AT. MEDICAS 2024'!$A$9:$A$874,"19/12/2025",'AT. MEDICAS 2024'!$I$9:$I$874,B288)</f>
        <v>0</v>
      </c>
      <c r="V288" s="30">
        <f>COUNTIFS('AT. MEDICAS 2024'!$A$9:$A$874,"20/12/2025",'AT. MEDICAS 2024'!$I$9:$I$874,B288)</f>
        <v>0</v>
      </c>
      <c r="W288" s="30">
        <f>COUNTIFS('AT. MEDICAS 2024'!$A$9:$A$874,"21/12/2025",'AT. MEDICAS 2024'!$I$9:$I$874,B288)</f>
        <v>0</v>
      </c>
      <c r="X288" s="30">
        <f>COUNTIFS('AT. MEDICAS 2024'!$A$9:$A$874,"22/12/2025",'AT. MEDICAS 2024'!$I$9:$I$874,B288)</f>
        <v>0</v>
      </c>
      <c r="Y288" s="30">
        <f>COUNTIFS('AT. MEDICAS 2024'!$A$9:$A$874,"23/12/2025",'AT. MEDICAS 2024'!$I$9:$I$874,B288)</f>
        <v>0</v>
      </c>
      <c r="Z288" s="30">
        <f>COUNTIFS('AT. MEDICAS 2024'!$A$9:$A$874,"24/12/2025",'AT. MEDICAS 2024'!$I$9:$I$874,B288)</f>
        <v>0</v>
      </c>
      <c r="AA288" s="30">
        <f>COUNTIFS('AT. MEDICAS 2024'!$A$9:$A$874,"25/12/2025",'AT. MEDICAS 2024'!$I$9:$I$874,B288)</f>
        <v>0</v>
      </c>
      <c r="AB288" s="30">
        <f>COUNTIFS('AT. MEDICAS 2024'!$A$9:$A$874,"26/12/2025",'AT. MEDICAS 2024'!$I$9:$I$874,B288)</f>
        <v>0</v>
      </c>
      <c r="AC288" s="30">
        <f>COUNTIFS('AT. MEDICAS 2024'!$A$9:$A$874,"27/12/2025",'AT. MEDICAS 2024'!$I$9:$I$874,B288)</f>
        <v>0</v>
      </c>
      <c r="AD288" s="30">
        <f>COUNTIFS('AT. MEDICAS 2024'!$A$9:$A$874,"28/12/2025",'AT. MEDICAS 2024'!$I$9:$I$874,B288)</f>
        <v>0</v>
      </c>
      <c r="AE288" s="30">
        <f>COUNTIFS('AT. MEDICAS 2024'!$A$9:$A$874,"29/12/2025",'AT. MEDICAS 2024'!$I$9:$I$874,B288)</f>
        <v>0</v>
      </c>
      <c r="AF288" s="30">
        <f>COUNTIFS('AT. MEDICAS 2024'!$A$9:$A$874,"30/12/2025",'AT. MEDICAS 2024'!$I$9:$I$874,B288)</f>
        <v>0</v>
      </c>
      <c r="AG288" s="30">
        <f>COUNTIFS('AT. MEDICAS 2024'!$A$9:$A$874,"31/12/2025",'AT. MEDICAS 2024'!$I$9:$I$874,B288)</f>
        <v>0</v>
      </c>
      <c r="AH288" s="55">
        <f t="shared" si="33"/>
        <v>0</v>
      </c>
    </row>
    <row r="289" spans="1:34" ht="13.8" thickBot="1" x14ac:dyDescent="0.3">
      <c r="A289" s="41">
        <v>4</v>
      </c>
      <c r="B289" s="54" t="s">
        <v>50</v>
      </c>
      <c r="C289" s="30">
        <f>COUNTIFS('AT. MEDICAS 2024'!$A$9:$A$874,"01/12/2025",'AT. MEDICAS 2024'!$I$9:$I$874,B289)</f>
        <v>0</v>
      </c>
      <c r="D289" s="30">
        <f>COUNTIFS('AT. MEDICAS 2024'!$A$9:$A$874,"02/12/2025",'AT. MEDICAS 2024'!$I$9:$I$874,B289)</f>
        <v>0</v>
      </c>
      <c r="E289" s="30">
        <f>COUNTIFS('AT. MEDICAS 2024'!$A$9:$A$874,"03/12/2025",'AT. MEDICAS 2024'!$I$9:$I$874,B289)</f>
        <v>0</v>
      </c>
      <c r="F289" s="30">
        <f>COUNTIFS('AT. MEDICAS 2024'!$A$9:$A$874,"04/12/2025",'AT. MEDICAS 2024'!$I$9:$I$874,B289)</f>
        <v>0</v>
      </c>
      <c r="G289" s="30">
        <f>COUNTIFS('AT. MEDICAS 2024'!$A$9:$A$874,"05/12/2025",'AT. MEDICAS 2024'!$I$9:$I$874,B289)</f>
        <v>0</v>
      </c>
      <c r="H289" s="30">
        <f>COUNTIFS('AT. MEDICAS 2024'!$A$9:$A$874,"06/12/2025",'AT. MEDICAS 2024'!$I$9:$I$874,B289)</f>
        <v>0</v>
      </c>
      <c r="I289" s="30">
        <f>COUNTIFS('AT. MEDICAS 2024'!$A$9:$A$874,"07/12/2025",'AT. MEDICAS 2024'!$I$9:$I$874,B289)</f>
        <v>0</v>
      </c>
      <c r="J289" s="30">
        <f>COUNTIFS('AT. MEDICAS 2024'!$A$9:$A$874,"08/12/2025",'AT. MEDICAS 2024'!$I$9:$I$874,B289)</f>
        <v>0</v>
      </c>
      <c r="K289" s="30">
        <f>COUNTIFS('AT. MEDICAS 2024'!$A$9:$A$874,"09/12/2025",'AT. MEDICAS 2024'!$I$9:$I$874,B289)</f>
        <v>0</v>
      </c>
      <c r="L289" s="30">
        <f>COUNTIFS('AT. MEDICAS 2024'!$A$9:$A$874,"10/12/2025",'AT. MEDICAS 2024'!$I$9:$I$874,B289)</f>
        <v>0</v>
      </c>
      <c r="M289" s="30">
        <f>COUNTIFS('AT. MEDICAS 2024'!$A$9:$A$874,"11/12/2025",'AT. MEDICAS 2024'!$I$9:$I$874,B289)</f>
        <v>0</v>
      </c>
      <c r="N289" s="30">
        <f>COUNTIFS('AT. MEDICAS 2024'!$A$9:$A$874,"12/12/2025",'AT. MEDICAS 2024'!$I$9:$I$874,B289)</f>
        <v>0</v>
      </c>
      <c r="O289" s="30">
        <f>COUNTIFS('AT. MEDICAS 2024'!$A$9:$A$874,"13/12/2025",'AT. MEDICAS 2024'!$I$9:$I$874,B289)</f>
        <v>0</v>
      </c>
      <c r="P289" s="30">
        <f>COUNTIFS('AT. MEDICAS 2024'!$A$9:$A$874,"14/12/2025",'AT. MEDICAS 2024'!$I$9:$I$874,B289)</f>
        <v>0</v>
      </c>
      <c r="Q289" s="30">
        <f>COUNTIFS('AT. MEDICAS 2024'!$A$9:$A$874,"15/12/2025",'AT. MEDICAS 2024'!$I$9:$I$874,B289)</f>
        <v>0</v>
      </c>
      <c r="R289" s="30">
        <f>COUNTIFS('AT. MEDICAS 2024'!$A$9:$A$874,"16/12/2025",'AT. MEDICAS 2024'!$I$9:$I$874,B289)</f>
        <v>0</v>
      </c>
      <c r="S289" s="30">
        <f>COUNTIFS('AT. MEDICAS 2024'!$A$9:$A$874,"17/12/2025",'AT. MEDICAS 2024'!$I$9:$I$874,B289)</f>
        <v>0</v>
      </c>
      <c r="T289" s="30">
        <f>COUNTIFS('AT. MEDICAS 2024'!$A$9:$A$874,"18/12/2025",'AT. MEDICAS 2024'!$I$9:$I$874,B289)</f>
        <v>0</v>
      </c>
      <c r="U289" s="30">
        <f>COUNTIFS('AT. MEDICAS 2024'!$A$9:$A$874,"19/12/2025",'AT. MEDICAS 2024'!$I$9:$I$874,B289)</f>
        <v>0</v>
      </c>
      <c r="V289" s="30">
        <f>COUNTIFS('AT. MEDICAS 2024'!$A$9:$A$874,"20/12/2025",'AT. MEDICAS 2024'!$I$9:$I$874,B289)</f>
        <v>0</v>
      </c>
      <c r="W289" s="30">
        <f>COUNTIFS('AT. MEDICAS 2024'!$A$9:$A$874,"21/12/2025",'AT. MEDICAS 2024'!$I$9:$I$874,B289)</f>
        <v>0</v>
      </c>
      <c r="X289" s="30">
        <f>COUNTIFS('AT. MEDICAS 2024'!$A$9:$A$874,"22/12/2025",'AT. MEDICAS 2024'!$I$9:$I$874,B289)</f>
        <v>0</v>
      </c>
      <c r="Y289" s="30">
        <f>COUNTIFS('AT. MEDICAS 2024'!$A$9:$A$874,"23/12/2025",'AT. MEDICAS 2024'!$I$9:$I$874,B289)</f>
        <v>0</v>
      </c>
      <c r="Z289" s="30">
        <f>COUNTIFS('AT. MEDICAS 2024'!$A$9:$A$874,"24/12/2025",'AT. MEDICAS 2024'!$I$9:$I$874,B289)</f>
        <v>0</v>
      </c>
      <c r="AA289" s="30">
        <f>COUNTIFS('AT. MEDICAS 2024'!$A$9:$A$874,"25/12/2025",'AT. MEDICAS 2024'!$I$9:$I$874,B289)</f>
        <v>0</v>
      </c>
      <c r="AB289" s="30">
        <f>COUNTIFS('AT. MEDICAS 2024'!$A$9:$A$874,"26/12/2025",'AT. MEDICAS 2024'!$I$9:$I$874,B289)</f>
        <v>0</v>
      </c>
      <c r="AC289" s="30">
        <f>COUNTIFS('AT. MEDICAS 2024'!$A$9:$A$874,"27/12/2025",'AT. MEDICAS 2024'!$I$9:$I$874,B289)</f>
        <v>0</v>
      </c>
      <c r="AD289" s="30">
        <f>COUNTIFS('AT. MEDICAS 2024'!$A$9:$A$874,"28/12/2025",'AT. MEDICAS 2024'!$I$9:$I$874,B289)</f>
        <v>0</v>
      </c>
      <c r="AE289" s="30">
        <f>COUNTIFS('AT. MEDICAS 2024'!$A$9:$A$874,"29/12/2025",'AT. MEDICAS 2024'!$I$9:$I$874,B289)</f>
        <v>0</v>
      </c>
      <c r="AF289" s="30">
        <f>COUNTIFS('AT. MEDICAS 2024'!$A$9:$A$874,"30/12/2025",'AT. MEDICAS 2024'!$I$9:$I$874,B289)</f>
        <v>0</v>
      </c>
      <c r="AG289" s="30">
        <f>COUNTIFS('AT. MEDICAS 2024'!$A$9:$A$874,"31/12/2025",'AT. MEDICAS 2024'!$I$9:$I$874,B289)</f>
        <v>0</v>
      </c>
      <c r="AH289" s="55">
        <f t="shared" si="33"/>
        <v>0</v>
      </c>
    </row>
    <row r="290" spans="1:34" ht="13.8" thickBot="1" x14ac:dyDescent="0.3">
      <c r="A290" s="41">
        <v>5</v>
      </c>
      <c r="B290" s="54" t="s">
        <v>187</v>
      </c>
      <c r="C290" s="30">
        <f>COUNTIFS('AT. MEDICAS 2024'!$A$9:$A$874,"01/12/2025",'AT. MEDICAS 2024'!$I$9:$I$874,B290)</f>
        <v>0</v>
      </c>
      <c r="D290" s="30">
        <f>COUNTIFS('AT. MEDICAS 2024'!$A$9:$A$874,"02/12/2025",'AT. MEDICAS 2024'!$I$9:$I$874,B290)</f>
        <v>0</v>
      </c>
      <c r="E290" s="30">
        <f>COUNTIFS('AT. MEDICAS 2024'!$A$9:$A$874,"03/12/2025",'AT. MEDICAS 2024'!$I$9:$I$874,B290)</f>
        <v>0</v>
      </c>
      <c r="F290" s="30">
        <f>COUNTIFS('AT. MEDICAS 2024'!$A$9:$A$874,"04/12/2025",'AT. MEDICAS 2024'!$I$9:$I$874,B290)</f>
        <v>0</v>
      </c>
      <c r="G290" s="30">
        <f>COUNTIFS('AT. MEDICAS 2024'!$A$9:$A$874,"05/12/2025",'AT. MEDICAS 2024'!$I$9:$I$874,B290)</f>
        <v>0</v>
      </c>
      <c r="H290" s="30">
        <f>COUNTIFS('AT. MEDICAS 2024'!$A$9:$A$874,"06/12/2025",'AT. MEDICAS 2024'!$I$9:$I$874,B290)</f>
        <v>0</v>
      </c>
      <c r="I290" s="30">
        <f>COUNTIFS('AT. MEDICAS 2024'!$A$9:$A$874,"07/12/2025",'AT. MEDICAS 2024'!$I$9:$I$874,B290)</f>
        <v>0</v>
      </c>
      <c r="J290" s="30">
        <f>COUNTIFS('AT. MEDICAS 2024'!$A$9:$A$874,"08/12/2025",'AT. MEDICAS 2024'!$I$9:$I$874,B290)</f>
        <v>0</v>
      </c>
      <c r="K290" s="30">
        <f>COUNTIFS('AT. MEDICAS 2024'!$A$9:$A$874,"09/12/2025",'AT. MEDICAS 2024'!$I$9:$I$874,B290)</f>
        <v>0</v>
      </c>
      <c r="L290" s="30">
        <f>COUNTIFS('AT. MEDICAS 2024'!$A$9:$A$874,"10/12/2025",'AT. MEDICAS 2024'!$I$9:$I$874,B290)</f>
        <v>0</v>
      </c>
      <c r="M290" s="30">
        <f>COUNTIFS('AT. MEDICAS 2024'!$A$9:$A$874,"11/12/2025",'AT. MEDICAS 2024'!$I$9:$I$874,B290)</f>
        <v>0</v>
      </c>
      <c r="N290" s="30">
        <f>COUNTIFS('AT. MEDICAS 2024'!$A$9:$A$874,"12/12/2025",'AT. MEDICAS 2024'!$I$9:$I$874,B290)</f>
        <v>0</v>
      </c>
      <c r="O290" s="30">
        <f>COUNTIFS('AT. MEDICAS 2024'!$A$9:$A$874,"13/12/2025",'AT. MEDICAS 2024'!$I$9:$I$874,B290)</f>
        <v>0</v>
      </c>
      <c r="P290" s="30">
        <f>COUNTIFS('AT. MEDICAS 2024'!$A$9:$A$874,"14/12/2025",'AT. MEDICAS 2024'!$I$9:$I$874,B290)</f>
        <v>0</v>
      </c>
      <c r="Q290" s="30">
        <f>COUNTIFS('AT. MEDICAS 2024'!$A$9:$A$874,"15/12/2025",'AT. MEDICAS 2024'!$I$9:$I$874,B290)</f>
        <v>0</v>
      </c>
      <c r="R290" s="30">
        <f>COUNTIFS('AT. MEDICAS 2024'!$A$9:$A$874,"16/12/2025",'AT. MEDICAS 2024'!$I$9:$I$874,B290)</f>
        <v>0</v>
      </c>
      <c r="S290" s="30">
        <f>COUNTIFS('AT. MEDICAS 2024'!$A$9:$A$874,"17/12/2025",'AT. MEDICAS 2024'!$I$9:$I$874,B290)</f>
        <v>0</v>
      </c>
      <c r="T290" s="30">
        <f>COUNTIFS('AT. MEDICAS 2024'!$A$9:$A$874,"18/12/2025",'AT. MEDICAS 2024'!$I$9:$I$874,B290)</f>
        <v>0</v>
      </c>
      <c r="U290" s="30">
        <f>COUNTIFS('AT. MEDICAS 2024'!$A$9:$A$874,"19/12/2025",'AT. MEDICAS 2024'!$I$9:$I$874,B290)</f>
        <v>0</v>
      </c>
      <c r="V290" s="30">
        <f>COUNTIFS('AT. MEDICAS 2024'!$A$9:$A$874,"20/12/2025",'AT. MEDICAS 2024'!$I$9:$I$874,B290)</f>
        <v>0</v>
      </c>
      <c r="W290" s="30">
        <f>COUNTIFS('AT. MEDICAS 2024'!$A$9:$A$874,"21/12/2025",'AT. MEDICAS 2024'!$I$9:$I$874,B290)</f>
        <v>0</v>
      </c>
      <c r="X290" s="30">
        <f>COUNTIFS('AT. MEDICAS 2024'!$A$9:$A$874,"22/12/2025",'AT. MEDICAS 2024'!$I$9:$I$874,B290)</f>
        <v>0</v>
      </c>
      <c r="Y290" s="30">
        <f>COUNTIFS('AT. MEDICAS 2024'!$A$9:$A$874,"23/12/2025",'AT. MEDICAS 2024'!$I$9:$I$874,B290)</f>
        <v>0</v>
      </c>
      <c r="Z290" s="30">
        <f>COUNTIFS('AT. MEDICAS 2024'!$A$9:$A$874,"24/12/2025",'AT. MEDICAS 2024'!$I$9:$I$874,B290)</f>
        <v>0</v>
      </c>
      <c r="AA290" s="30">
        <f>COUNTIFS('AT. MEDICAS 2024'!$A$9:$A$874,"25/12/2025",'AT. MEDICAS 2024'!$I$9:$I$874,B290)</f>
        <v>0</v>
      </c>
      <c r="AB290" s="30">
        <f>COUNTIFS('AT. MEDICAS 2024'!$A$9:$A$874,"26/12/2025",'AT. MEDICAS 2024'!$I$9:$I$874,B290)</f>
        <v>0</v>
      </c>
      <c r="AC290" s="30">
        <f>COUNTIFS('AT. MEDICAS 2024'!$A$9:$A$874,"27/12/2025",'AT. MEDICAS 2024'!$I$9:$I$874,B290)</f>
        <v>0</v>
      </c>
      <c r="AD290" s="30">
        <f>COUNTIFS('AT. MEDICAS 2024'!$A$9:$A$874,"28/12/2025",'AT. MEDICAS 2024'!$I$9:$I$874,B290)</f>
        <v>0</v>
      </c>
      <c r="AE290" s="30">
        <f>COUNTIFS('AT. MEDICAS 2024'!$A$9:$A$874,"29/12/2025",'AT. MEDICAS 2024'!$I$9:$I$874,B290)</f>
        <v>0</v>
      </c>
      <c r="AF290" s="30">
        <f>COUNTIFS('AT. MEDICAS 2024'!$A$9:$A$874,"30/12/2025",'AT. MEDICAS 2024'!$I$9:$I$874,B290)</f>
        <v>0</v>
      </c>
      <c r="AG290" s="30">
        <f>COUNTIFS('AT. MEDICAS 2024'!$A$9:$A$874,"31/12/2025",'AT. MEDICAS 2024'!$I$9:$I$874,B290)</f>
        <v>0</v>
      </c>
      <c r="AH290" s="55">
        <f t="shared" si="33"/>
        <v>0</v>
      </c>
    </row>
    <row r="291" spans="1:34" ht="13.8" thickBot="1" x14ac:dyDescent="0.3">
      <c r="A291" s="41">
        <v>6</v>
      </c>
      <c r="B291" s="54" t="s">
        <v>46</v>
      </c>
      <c r="C291" s="30">
        <f>COUNTIFS('AT. MEDICAS 2024'!$A$9:$A$874,"01/12/2025",'AT. MEDICAS 2024'!$I$9:$I$874,B291)</f>
        <v>0</v>
      </c>
      <c r="D291" s="30">
        <f>COUNTIFS('AT. MEDICAS 2024'!$A$9:$A$874,"02/12/2025",'AT. MEDICAS 2024'!$I$9:$I$874,B291)</f>
        <v>0</v>
      </c>
      <c r="E291" s="30">
        <f>COUNTIFS('AT. MEDICAS 2024'!$A$9:$A$874,"03/12/2025",'AT. MEDICAS 2024'!$I$9:$I$874,B291)</f>
        <v>0</v>
      </c>
      <c r="F291" s="30">
        <f>COUNTIFS('AT. MEDICAS 2024'!$A$9:$A$874,"04/12/2025",'AT. MEDICAS 2024'!$I$9:$I$874,B291)</f>
        <v>0</v>
      </c>
      <c r="G291" s="30">
        <f>COUNTIFS('AT. MEDICAS 2024'!$A$9:$A$874,"05/12/2025",'AT. MEDICAS 2024'!$I$9:$I$874,B291)</f>
        <v>0</v>
      </c>
      <c r="H291" s="30">
        <f>COUNTIFS('AT. MEDICAS 2024'!$A$9:$A$874,"06/12/2025",'AT. MEDICAS 2024'!$I$9:$I$874,B291)</f>
        <v>0</v>
      </c>
      <c r="I291" s="30">
        <f>COUNTIFS('AT. MEDICAS 2024'!$A$9:$A$874,"07/12/2025",'AT. MEDICAS 2024'!$I$9:$I$874,B291)</f>
        <v>0</v>
      </c>
      <c r="J291" s="30">
        <f>COUNTIFS('AT. MEDICAS 2024'!$A$9:$A$874,"08/12/2025",'AT. MEDICAS 2024'!$I$9:$I$874,B291)</f>
        <v>0</v>
      </c>
      <c r="K291" s="30">
        <f>COUNTIFS('AT. MEDICAS 2024'!$A$9:$A$874,"09/12/2025",'AT. MEDICAS 2024'!$I$9:$I$874,B291)</f>
        <v>0</v>
      </c>
      <c r="L291" s="30">
        <f>COUNTIFS('AT. MEDICAS 2024'!$A$9:$A$874,"10/12/2025",'AT. MEDICAS 2024'!$I$9:$I$874,B291)</f>
        <v>0</v>
      </c>
      <c r="M291" s="30">
        <f>COUNTIFS('AT. MEDICAS 2024'!$A$9:$A$874,"11/12/2025",'AT. MEDICAS 2024'!$I$9:$I$874,B291)</f>
        <v>0</v>
      </c>
      <c r="N291" s="30">
        <f>COUNTIFS('AT. MEDICAS 2024'!$A$9:$A$874,"12/12/2025",'AT. MEDICAS 2024'!$I$9:$I$874,B291)</f>
        <v>0</v>
      </c>
      <c r="O291" s="30">
        <f>COUNTIFS('AT. MEDICAS 2024'!$A$9:$A$874,"13/12/2025",'AT. MEDICAS 2024'!$I$9:$I$874,B291)</f>
        <v>0</v>
      </c>
      <c r="P291" s="30">
        <f>COUNTIFS('AT. MEDICAS 2024'!$A$9:$A$874,"14/12/2025",'AT. MEDICAS 2024'!$I$9:$I$874,B291)</f>
        <v>0</v>
      </c>
      <c r="Q291" s="30">
        <f>COUNTIFS('AT. MEDICAS 2024'!$A$9:$A$874,"15/12/2025",'AT. MEDICAS 2024'!$I$9:$I$874,B291)</f>
        <v>0</v>
      </c>
      <c r="R291" s="30">
        <f>COUNTIFS('AT. MEDICAS 2024'!$A$9:$A$874,"16/12/2025",'AT. MEDICAS 2024'!$I$9:$I$874,B291)</f>
        <v>0</v>
      </c>
      <c r="S291" s="30">
        <f>COUNTIFS('AT. MEDICAS 2024'!$A$9:$A$874,"17/12/2025",'AT. MEDICAS 2024'!$I$9:$I$874,B291)</f>
        <v>0</v>
      </c>
      <c r="T291" s="30">
        <f>COUNTIFS('AT. MEDICAS 2024'!$A$9:$A$874,"18/12/2025",'AT. MEDICAS 2024'!$I$9:$I$874,B291)</f>
        <v>0</v>
      </c>
      <c r="U291" s="30">
        <f>COUNTIFS('AT. MEDICAS 2024'!$A$9:$A$874,"19/12/2025",'AT. MEDICAS 2024'!$I$9:$I$874,B291)</f>
        <v>0</v>
      </c>
      <c r="V291" s="30">
        <f>COUNTIFS('AT. MEDICAS 2024'!$A$9:$A$874,"20/12/2025",'AT. MEDICAS 2024'!$I$9:$I$874,B291)</f>
        <v>0</v>
      </c>
      <c r="W291" s="30">
        <f>COUNTIFS('AT. MEDICAS 2024'!$A$9:$A$874,"21/12/2025",'AT. MEDICAS 2024'!$I$9:$I$874,B291)</f>
        <v>0</v>
      </c>
      <c r="X291" s="30">
        <f>COUNTIFS('AT. MEDICAS 2024'!$A$9:$A$874,"22/12/2025",'AT. MEDICAS 2024'!$I$9:$I$874,B291)</f>
        <v>0</v>
      </c>
      <c r="Y291" s="30">
        <f>COUNTIFS('AT. MEDICAS 2024'!$A$9:$A$874,"23/12/2025",'AT. MEDICAS 2024'!$I$9:$I$874,B291)</f>
        <v>0</v>
      </c>
      <c r="Z291" s="30">
        <f>COUNTIFS('AT. MEDICAS 2024'!$A$9:$A$874,"24/12/2025",'AT. MEDICAS 2024'!$I$9:$I$874,B291)</f>
        <v>0</v>
      </c>
      <c r="AA291" s="30">
        <f>COUNTIFS('AT. MEDICAS 2024'!$A$9:$A$874,"25/12/2025",'AT. MEDICAS 2024'!$I$9:$I$874,B291)</f>
        <v>0</v>
      </c>
      <c r="AB291" s="30">
        <f>COUNTIFS('AT. MEDICAS 2024'!$A$9:$A$874,"26/12/2025",'AT. MEDICAS 2024'!$I$9:$I$874,B291)</f>
        <v>0</v>
      </c>
      <c r="AC291" s="30">
        <f>COUNTIFS('AT. MEDICAS 2024'!$A$9:$A$874,"27/12/2025",'AT. MEDICAS 2024'!$I$9:$I$874,B291)</f>
        <v>0</v>
      </c>
      <c r="AD291" s="30">
        <f>COUNTIFS('AT. MEDICAS 2024'!$A$9:$A$874,"28/12/2025",'AT. MEDICAS 2024'!$I$9:$I$874,B291)</f>
        <v>0</v>
      </c>
      <c r="AE291" s="30">
        <f>COUNTIFS('AT. MEDICAS 2024'!$A$9:$A$874,"29/12/2025",'AT. MEDICAS 2024'!$I$9:$I$874,B291)</f>
        <v>0</v>
      </c>
      <c r="AF291" s="30">
        <f>COUNTIFS('AT. MEDICAS 2024'!$A$9:$A$874,"30/12/2025",'AT. MEDICAS 2024'!$I$9:$I$874,B291)</f>
        <v>0</v>
      </c>
      <c r="AG291" s="30">
        <f>COUNTIFS('AT. MEDICAS 2024'!$A$9:$A$874,"31/12/2025",'AT. MEDICAS 2024'!$I$9:$I$874,B291)</f>
        <v>0</v>
      </c>
      <c r="AH291" s="55">
        <f t="shared" si="33"/>
        <v>0</v>
      </c>
    </row>
    <row r="292" spans="1:34" ht="13.8" thickBot="1" x14ac:dyDescent="0.3">
      <c r="A292" s="41">
        <v>7</v>
      </c>
      <c r="B292" s="54" t="s">
        <v>36</v>
      </c>
      <c r="C292" s="30">
        <f>COUNTIFS('AT. MEDICAS 2024'!$A$9:$A$874,"01/12/2025",'AT. MEDICAS 2024'!$I$9:$I$874,B292)</f>
        <v>0</v>
      </c>
      <c r="D292" s="30">
        <f>COUNTIFS('AT. MEDICAS 2024'!$A$9:$A$874,"02/12/2025",'AT. MEDICAS 2024'!$I$9:$I$874,B292)</f>
        <v>0</v>
      </c>
      <c r="E292" s="30">
        <f>COUNTIFS('AT. MEDICAS 2024'!$A$9:$A$874,"03/12/2025",'AT. MEDICAS 2024'!$I$9:$I$874,B292)</f>
        <v>0</v>
      </c>
      <c r="F292" s="30">
        <f>COUNTIFS('AT. MEDICAS 2024'!$A$9:$A$874,"04/12/2025",'AT. MEDICAS 2024'!$I$9:$I$874,B292)</f>
        <v>0</v>
      </c>
      <c r="G292" s="30">
        <f>COUNTIFS('AT. MEDICAS 2024'!$A$9:$A$874,"05/12/2025",'AT. MEDICAS 2024'!$I$9:$I$874,B292)</f>
        <v>0</v>
      </c>
      <c r="H292" s="30">
        <f>COUNTIFS('AT. MEDICAS 2024'!$A$9:$A$874,"06/12/2025",'AT. MEDICAS 2024'!$I$9:$I$874,B292)</f>
        <v>0</v>
      </c>
      <c r="I292" s="30">
        <f>COUNTIFS('AT. MEDICAS 2024'!$A$9:$A$874,"07/12/2025",'AT. MEDICAS 2024'!$I$9:$I$874,B292)</f>
        <v>0</v>
      </c>
      <c r="J292" s="30">
        <f>COUNTIFS('AT. MEDICAS 2024'!$A$9:$A$874,"08/12/2025",'AT. MEDICAS 2024'!$I$9:$I$874,B292)</f>
        <v>0</v>
      </c>
      <c r="K292" s="30">
        <f>COUNTIFS('AT. MEDICAS 2024'!$A$9:$A$874,"09/12/2025",'AT. MEDICAS 2024'!$I$9:$I$874,B292)</f>
        <v>0</v>
      </c>
      <c r="L292" s="30">
        <f>COUNTIFS('AT. MEDICAS 2024'!$A$9:$A$874,"10/12/2025",'AT. MEDICAS 2024'!$I$9:$I$874,B292)</f>
        <v>0</v>
      </c>
      <c r="M292" s="30">
        <f>COUNTIFS('AT. MEDICAS 2024'!$A$9:$A$874,"11/12/2025",'AT. MEDICAS 2024'!$I$9:$I$874,B292)</f>
        <v>0</v>
      </c>
      <c r="N292" s="30">
        <f>COUNTIFS('AT. MEDICAS 2024'!$A$9:$A$874,"12/12/2025",'AT. MEDICAS 2024'!$I$9:$I$874,B292)</f>
        <v>0</v>
      </c>
      <c r="O292" s="30">
        <f>COUNTIFS('AT. MEDICAS 2024'!$A$9:$A$874,"13/12/2025",'AT. MEDICAS 2024'!$I$9:$I$874,B292)</f>
        <v>0</v>
      </c>
      <c r="P292" s="30">
        <f>COUNTIFS('AT. MEDICAS 2024'!$A$9:$A$874,"14/12/2025",'AT. MEDICAS 2024'!$I$9:$I$874,B292)</f>
        <v>0</v>
      </c>
      <c r="Q292" s="30">
        <f>COUNTIFS('AT. MEDICAS 2024'!$A$9:$A$874,"15/12/2025",'AT. MEDICAS 2024'!$I$9:$I$874,B292)</f>
        <v>0</v>
      </c>
      <c r="R292" s="30">
        <f>COUNTIFS('AT. MEDICAS 2024'!$A$9:$A$874,"16/12/2025",'AT. MEDICAS 2024'!$I$9:$I$874,B292)</f>
        <v>0</v>
      </c>
      <c r="S292" s="30">
        <f>COUNTIFS('AT. MEDICAS 2024'!$A$9:$A$874,"17/12/2025",'AT. MEDICAS 2024'!$I$9:$I$874,B292)</f>
        <v>0</v>
      </c>
      <c r="T292" s="30">
        <f>COUNTIFS('AT. MEDICAS 2024'!$A$9:$A$874,"18/12/2025",'AT. MEDICAS 2024'!$I$9:$I$874,B292)</f>
        <v>0</v>
      </c>
      <c r="U292" s="30">
        <f>COUNTIFS('AT. MEDICAS 2024'!$A$9:$A$874,"19/12/2025",'AT. MEDICAS 2024'!$I$9:$I$874,B292)</f>
        <v>0</v>
      </c>
      <c r="V292" s="30">
        <f>COUNTIFS('AT. MEDICAS 2024'!$A$9:$A$874,"20/12/2025",'AT. MEDICAS 2024'!$I$9:$I$874,B292)</f>
        <v>0</v>
      </c>
      <c r="W292" s="30">
        <f>COUNTIFS('AT. MEDICAS 2024'!$A$9:$A$874,"21/12/2025",'AT. MEDICAS 2024'!$I$9:$I$874,B292)</f>
        <v>0</v>
      </c>
      <c r="X292" s="30">
        <f>COUNTIFS('AT. MEDICAS 2024'!$A$9:$A$874,"22/12/2025",'AT. MEDICAS 2024'!$I$9:$I$874,B292)</f>
        <v>0</v>
      </c>
      <c r="Y292" s="30">
        <f>COUNTIFS('AT. MEDICAS 2024'!$A$9:$A$874,"23/12/2025",'AT. MEDICAS 2024'!$I$9:$I$874,B292)</f>
        <v>0</v>
      </c>
      <c r="Z292" s="30">
        <f>COUNTIFS('AT. MEDICAS 2024'!$A$9:$A$874,"24/12/2025",'AT. MEDICAS 2024'!$I$9:$I$874,B292)</f>
        <v>0</v>
      </c>
      <c r="AA292" s="30">
        <f>COUNTIFS('AT. MEDICAS 2024'!$A$9:$A$874,"25/12/2025",'AT. MEDICAS 2024'!$I$9:$I$874,B292)</f>
        <v>0</v>
      </c>
      <c r="AB292" s="30">
        <f>COUNTIFS('AT. MEDICAS 2024'!$A$9:$A$874,"26/12/2025",'AT. MEDICAS 2024'!$I$9:$I$874,B292)</f>
        <v>0</v>
      </c>
      <c r="AC292" s="30">
        <f>COUNTIFS('AT. MEDICAS 2024'!$A$9:$A$874,"27/12/2025",'AT. MEDICAS 2024'!$I$9:$I$874,B292)</f>
        <v>0</v>
      </c>
      <c r="AD292" s="30">
        <f>COUNTIFS('AT. MEDICAS 2024'!$A$9:$A$874,"28/12/2025",'AT. MEDICAS 2024'!$I$9:$I$874,B292)</f>
        <v>0</v>
      </c>
      <c r="AE292" s="30">
        <f>COUNTIFS('AT. MEDICAS 2024'!$A$9:$A$874,"29/12/2025",'AT. MEDICAS 2024'!$I$9:$I$874,B292)</f>
        <v>0</v>
      </c>
      <c r="AF292" s="30">
        <f>COUNTIFS('AT. MEDICAS 2024'!$A$9:$A$874,"30/12/2025",'AT. MEDICAS 2024'!$I$9:$I$874,B292)</f>
        <v>0</v>
      </c>
      <c r="AG292" s="30">
        <f>COUNTIFS('AT. MEDICAS 2024'!$A$9:$A$874,"31/12/2025",'AT. MEDICAS 2024'!$I$9:$I$874,B292)</f>
        <v>0</v>
      </c>
      <c r="AH292" s="55">
        <f t="shared" si="33"/>
        <v>0</v>
      </c>
    </row>
    <row r="293" spans="1:34" ht="13.8" thickBot="1" x14ac:dyDescent="0.3">
      <c r="A293" s="41">
        <v>8</v>
      </c>
      <c r="B293" s="54" t="s">
        <v>92</v>
      </c>
      <c r="C293" s="30">
        <f>COUNTIFS('AT. MEDICAS 2024'!$A$9:$A$874,"01/12/2025",'AT. MEDICAS 2024'!$I$9:$I$874,B293)</f>
        <v>0</v>
      </c>
      <c r="D293" s="30">
        <f>COUNTIFS('AT. MEDICAS 2024'!$A$9:$A$874,"02/12/2025",'AT. MEDICAS 2024'!$I$9:$I$874,B293)</f>
        <v>0</v>
      </c>
      <c r="E293" s="30">
        <f>COUNTIFS('AT. MEDICAS 2024'!$A$9:$A$874,"03/12/2025",'AT. MEDICAS 2024'!$I$9:$I$874,B293)</f>
        <v>0</v>
      </c>
      <c r="F293" s="30">
        <f>COUNTIFS('AT. MEDICAS 2024'!$A$9:$A$874,"04/12/2025",'AT. MEDICAS 2024'!$I$9:$I$874,B293)</f>
        <v>0</v>
      </c>
      <c r="G293" s="30">
        <f>COUNTIFS('AT. MEDICAS 2024'!$A$9:$A$874,"05/12/2025",'AT. MEDICAS 2024'!$I$9:$I$874,B293)</f>
        <v>0</v>
      </c>
      <c r="H293" s="30">
        <f>COUNTIFS('AT. MEDICAS 2024'!$A$9:$A$874,"06/12/2025",'AT. MEDICAS 2024'!$I$9:$I$874,B293)</f>
        <v>0</v>
      </c>
      <c r="I293" s="30">
        <f>COUNTIFS('AT. MEDICAS 2024'!$A$9:$A$874,"07/12/2025",'AT. MEDICAS 2024'!$I$9:$I$874,B293)</f>
        <v>0</v>
      </c>
      <c r="J293" s="30">
        <f>COUNTIFS('AT. MEDICAS 2024'!$A$9:$A$874,"08/12/2025",'AT. MEDICAS 2024'!$I$9:$I$874,B293)</f>
        <v>0</v>
      </c>
      <c r="K293" s="30">
        <f>COUNTIFS('AT. MEDICAS 2024'!$A$9:$A$874,"09/12/2025",'AT. MEDICAS 2024'!$I$9:$I$874,B293)</f>
        <v>0</v>
      </c>
      <c r="L293" s="30">
        <f>COUNTIFS('AT. MEDICAS 2024'!$A$9:$A$874,"10/12/2025",'AT. MEDICAS 2024'!$I$9:$I$874,B293)</f>
        <v>0</v>
      </c>
      <c r="M293" s="30">
        <f>COUNTIFS('AT. MEDICAS 2024'!$A$9:$A$874,"11/12/2025",'AT. MEDICAS 2024'!$I$9:$I$874,B293)</f>
        <v>0</v>
      </c>
      <c r="N293" s="30">
        <f>COUNTIFS('AT. MEDICAS 2024'!$A$9:$A$874,"12/12/2025",'AT. MEDICAS 2024'!$I$9:$I$874,B293)</f>
        <v>0</v>
      </c>
      <c r="O293" s="30">
        <f>COUNTIFS('AT. MEDICAS 2024'!$A$9:$A$874,"13/12/2025",'AT. MEDICAS 2024'!$I$9:$I$874,B293)</f>
        <v>0</v>
      </c>
      <c r="P293" s="30">
        <f>COUNTIFS('AT. MEDICAS 2024'!$A$9:$A$874,"14/12/2025",'AT. MEDICAS 2024'!$I$9:$I$874,B293)</f>
        <v>0</v>
      </c>
      <c r="Q293" s="30">
        <f>COUNTIFS('AT. MEDICAS 2024'!$A$9:$A$874,"15/12/2025",'AT. MEDICAS 2024'!$I$9:$I$874,B293)</f>
        <v>0</v>
      </c>
      <c r="R293" s="30">
        <f>COUNTIFS('AT. MEDICAS 2024'!$A$9:$A$874,"16/12/2025",'AT. MEDICAS 2024'!$I$9:$I$874,B293)</f>
        <v>0</v>
      </c>
      <c r="S293" s="30">
        <f>COUNTIFS('AT. MEDICAS 2024'!$A$9:$A$874,"17/12/2025",'AT. MEDICAS 2024'!$I$9:$I$874,B293)</f>
        <v>0</v>
      </c>
      <c r="T293" s="30">
        <f>COUNTIFS('AT. MEDICAS 2024'!$A$9:$A$874,"18/12/2025",'AT. MEDICAS 2024'!$I$9:$I$874,B293)</f>
        <v>0</v>
      </c>
      <c r="U293" s="30">
        <f>COUNTIFS('AT. MEDICAS 2024'!$A$9:$A$874,"19/12/2025",'AT. MEDICAS 2024'!$I$9:$I$874,B293)</f>
        <v>0</v>
      </c>
      <c r="V293" s="30">
        <f>COUNTIFS('AT. MEDICAS 2024'!$A$9:$A$874,"20/12/2025",'AT. MEDICAS 2024'!$I$9:$I$874,B293)</f>
        <v>0</v>
      </c>
      <c r="W293" s="30">
        <f>COUNTIFS('AT. MEDICAS 2024'!$A$9:$A$874,"21/12/2025",'AT. MEDICAS 2024'!$I$9:$I$874,B293)</f>
        <v>0</v>
      </c>
      <c r="X293" s="30">
        <f>COUNTIFS('AT. MEDICAS 2024'!$A$9:$A$874,"22/12/2025",'AT. MEDICAS 2024'!$I$9:$I$874,B293)</f>
        <v>0</v>
      </c>
      <c r="Y293" s="30">
        <f>COUNTIFS('AT. MEDICAS 2024'!$A$9:$A$874,"23/12/2025",'AT. MEDICAS 2024'!$I$9:$I$874,B293)</f>
        <v>0</v>
      </c>
      <c r="Z293" s="30">
        <f>COUNTIFS('AT. MEDICAS 2024'!$A$9:$A$874,"24/12/2025",'AT. MEDICAS 2024'!$I$9:$I$874,B293)</f>
        <v>0</v>
      </c>
      <c r="AA293" s="30">
        <f>COUNTIFS('AT. MEDICAS 2024'!$A$9:$A$874,"25/12/2025",'AT. MEDICAS 2024'!$I$9:$I$874,B293)</f>
        <v>0</v>
      </c>
      <c r="AB293" s="30">
        <f>COUNTIFS('AT. MEDICAS 2024'!$A$9:$A$874,"26/12/2025",'AT. MEDICAS 2024'!$I$9:$I$874,B293)</f>
        <v>0</v>
      </c>
      <c r="AC293" s="30">
        <f>COUNTIFS('AT. MEDICAS 2024'!$A$9:$A$874,"27/12/2025",'AT. MEDICAS 2024'!$I$9:$I$874,B293)</f>
        <v>0</v>
      </c>
      <c r="AD293" s="30">
        <f>COUNTIFS('AT. MEDICAS 2024'!$A$9:$A$874,"28/12/2025",'AT. MEDICAS 2024'!$I$9:$I$874,B293)</f>
        <v>0</v>
      </c>
      <c r="AE293" s="30">
        <f>COUNTIFS('AT. MEDICAS 2024'!$A$9:$A$874,"29/12/2025",'AT. MEDICAS 2024'!$I$9:$I$874,B293)</f>
        <v>0</v>
      </c>
      <c r="AF293" s="30">
        <f>COUNTIFS('AT. MEDICAS 2024'!$A$9:$A$874,"30/12/2025",'AT. MEDICAS 2024'!$I$9:$I$874,B293)</f>
        <v>0</v>
      </c>
      <c r="AG293" s="30">
        <f>COUNTIFS('AT. MEDICAS 2024'!$A$9:$A$874,"31/12/2025",'AT. MEDICAS 2024'!$I$9:$I$874,B293)</f>
        <v>0</v>
      </c>
      <c r="AH293" s="55">
        <f t="shared" si="33"/>
        <v>0</v>
      </c>
    </row>
    <row r="294" spans="1:34" ht="13.8" thickBot="1" x14ac:dyDescent="0.3">
      <c r="A294" s="41">
        <v>9</v>
      </c>
      <c r="B294" s="54" t="s">
        <v>188</v>
      </c>
      <c r="C294" s="30">
        <f>COUNTIFS('AT. MEDICAS 2024'!$A$9:$A$874,"01/12/2025",'AT. MEDICAS 2024'!$I$9:$I$874,B294)</f>
        <v>0</v>
      </c>
      <c r="D294" s="30">
        <f>COUNTIFS('AT. MEDICAS 2024'!$A$9:$A$874,"02/12/2025",'AT. MEDICAS 2024'!$I$9:$I$874,B294)</f>
        <v>0</v>
      </c>
      <c r="E294" s="30">
        <f>COUNTIFS('AT. MEDICAS 2024'!$A$9:$A$874,"03/12/2025",'AT. MEDICAS 2024'!$I$9:$I$874,B294)</f>
        <v>0</v>
      </c>
      <c r="F294" s="30">
        <f>COUNTIFS('AT. MEDICAS 2024'!$A$9:$A$874,"04/12/2025",'AT. MEDICAS 2024'!$I$9:$I$874,B294)</f>
        <v>0</v>
      </c>
      <c r="G294" s="30">
        <f>COUNTIFS('AT. MEDICAS 2024'!$A$9:$A$874,"05/12/2025",'AT. MEDICAS 2024'!$I$9:$I$874,B294)</f>
        <v>0</v>
      </c>
      <c r="H294" s="30">
        <f>COUNTIFS('AT. MEDICAS 2024'!$A$9:$A$874,"06/12/2025",'AT. MEDICAS 2024'!$I$9:$I$874,B294)</f>
        <v>0</v>
      </c>
      <c r="I294" s="30">
        <f>COUNTIFS('AT. MEDICAS 2024'!$A$9:$A$874,"07/12/2025",'AT. MEDICAS 2024'!$I$9:$I$874,B294)</f>
        <v>0</v>
      </c>
      <c r="J294" s="30">
        <f>COUNTIFS('AT. MEDICAS 2024'!$A$9:$A$874,"08/12/2025",'AT. MEDICAS 2024'!$I$9:$I$874,B294)</f>
        <v>0</v>
      </c>
      <c r="K294" s="30">
        <f>COUNTIFS('AT. MEDICAS 2024'!$A$9:$A$874,"09/12/2025",'AT. MEDICAS 2024'!$I$9:$I$874,B294)</f>
        <v>0</v>
      </c>
      <c r="L294" s="30">
        <f>COUNTIFS('AT. MEDICAS 2024'!$A$9:$A$874,"10/12/2025",'AT. MEDICAS 2024'!$I$9:$I$874,B294)</f>
        <v>0</v>
      </c>
      <c r="M294" s="30">
        <f>COUNTIFS('AT. MEDICAS 2024'!$A$9:$A$874,"11/12/2025",'AT. MEDICAS 2024'!$I$9:$I$874,B294)</f>
        <v>0</v>
      </c>
      <c r="N294" s="30">
        <f>COUNTIFS('AT. MEDICAS 2024'!$A$9:$A$874,"12/12/2025",'AT. MEDICAS 2024'!$I$9:$I$874,B294)</f>
        <v>0</v>
      </c>
      <c r="O294" s="30">
        <f>COUNTIFS('AT. MEDICAS 2024'!$A$9:$A$874,"13/12/2025",'AT. MEDICAS 2024'!$I$9:$I$874,B294)</f>
        <v>0</v>
      </c>
      <c r="P294" s="30">
        <f>COUNTIFS('AT. MEDICAS 2024'!$A$9:$A$874,"14/12/2025",'AT. MEDICAS 2024'!$I$9:$I$874,B294)</f>
        <v>0</v>
      </c>
      <c r="Q294" s="30">
        <f>COUNTIFS('AT. MEDICAS 2024'!$A$9:$A$874,"15/12/2025",'AT. MEDICAS 2024'!$I$9:$I$874,B294)</f>
        <v>0</v>
      </c>
      <c r="R294" s="30">
        <f>COUNTIFS('AT. MEDICAS 2024'!$A$9:$A$874,"16/12/2025",'AT. MEDICAS 2024'!$I$9:$I$874,B294)</f>
        <v>0</v>
      </c>
      <c r="S294" s="30">
        <f>COUNTIFS('AT. MEDICAS 2024'!$A$9:$A$874,"17/12/2025",'AT. MEDICAS 2024'!$I$9:$I$874,B294)</f>
        <v>0</v>
      </c>
      <c r="T294" s="30">
        <f>COUNTIFS('AT. MEDICAS 2024'!$A$9:$A$874,"18/12/2025",'AT. MEDICAS 2024'!$I$9:$I$874,B294)</f>
        <v>0</v>
      </c>
      <c r="U294" s="30">
        <f>COUNTIFS('AT. MEDICAS 2024'!$A$9:$A$874,"19/12/2025",'AT. MEDICAS 2024'!$I$9:$I$874,B294)</f>
        <v>0</v>
      </c>
      <c r="V294" s="30">
        <f>COUNTIFS('AT. MEDICAS 2024'!$A$9:$A$874,"20/12/2025",'AT. MEDICAS 2024'!$I$9:$I$874,B294)</f>
        <v>0</v>
      </c>
      <c r="W294" s="30">
        <f>COUNTIFS('AT. MEDICAS 2024'!$A$9:$A$874,"21/12/2025",'AT. MEDICAS 2024'!$I$9:$I$874,B294)</f>
        <v>0</v>
      </c>
      <c r="X294" s="30">
        <f>COUNTIFS('AT. MEDICAS 2024'!$A$9:$A$874,"22/12/2025",'AT. MEDICAS 2024'!$I$9:$I$874,B294)</f>
        <v>0</v>
      </c>
      <c r="Y294" s="30">
        <f>COUNTIFS('AT. MEDICAS 2024'!$A$9:$A$874,"23/12/2025",'AT. MEDICAS 2024'!$I$9:$I$874,B294)</f>
        <v>0</v>
      </c>
      <c r="Z294" s="30">
        <f>COUNTIFS('AT. MEDICAS 2024'!$A$9:$A$874,"24/12/2025",'AT. MEDICAS 2024'!$I$9:$I$874,B294)</f>
        <v>0</v>
      </c>
      <c r="AA294" s="30">
        <f>COUNTIFS('AT. MEDICAS 2024'!$A$9:$A$874,"25/12/2025",'AT. MEDICAS 2024'!$I$9:$I$874,B294)</f>
        <v>0</v>
      </c>
      <c r="AB294" s="30">
        <f>COUNTIFS('AT. MEDICAS 2024'!$A$9:$A$874,"26/12/2025",'AT. MEDICAS 2024'!$I$9:$I$874,B294)</f>
        <v>0</v>
      </c>
      <c r="AC294" s="30">
        <f>COUNTIFS('AT. MEDICAS 2024'!$A$9:$A$874,"27/12/2025",'AT. MEDICAS 2024'!$I$9:$I$874,B294)</f>
        <v>0</v>
      </c>
      <c r="AD294" s="30">
        <f>COUNTIFS('AT. MEDICAS 2024'!$A$9:$A$874,"28/12/2025",'AT. MEDICAS 2024'!$I$9:$I$874,B294)</f>
        <v>0</v>
      </c>
      <c r="AE294" s="30">
        <f>COUNTIFS('AT. MEDICAS 2024'!$A$9:$A$874,"29/12/2025",'AT. MEDICAS 2024'!$I$9:$I$874,B294)</f>
        <v>0</v>
      </c>
      <c r="AF294" s="30">
        <f>COUNTIFS('AT. MEDICAS 2024'!$A$9:$A$874,"30/12/2025",'AT. MEDICAS 2024'!$I$9:$I$874,B294)</f>
        <v>0</v>
      </c>
      <c r="AG294" s="30">
        <f>COUNTIFS('AT. MEDICAS 2024'!$A$9:$A$874,"31/12/2025",'AT. MEDICAS 2024'!$I$9:$I$874,B294)</f>
        <v>0</v>
      </c>
      <c r="AH294" s="55">
        <f t="shared" si="33"/>
        <v>0</v>
      </c>
    </row>
    <row r="295" spans="1:34" ht="13.8" thickBot="1" x14ac:dyDescent="0.3">
      <c r="A295" s="41">
        <v>10</v>
      </c>
      <c r="B295" s="54" t="s">
        <v>97</v>
      </c>
      <c r="C295" s="30">
        <f>COUNTIFS('AT. MEDICAS 2024'!$A$9:$A$874,"01/12/2025",'AT. MEDICAS 2024'!$I$9:$I$874,B295)</f>
        <v>0</v>
      </c>
      <c r="D295" s="30">
        <f>COUNTIFS('AT. MEDICAS 2024'!$A$9:$A$874,"02/12/2025",'AT. MEDICAS 2024'!$I$9:$I$874,B295)</f>
        <v>0</v>
      </c>
      <c r="E295" s="30">
        <f>COUNTIFS('AT. MEDICAS 2024'!$A$9:$A$874,"03/12/2025",'AT. MEDICAS 2024'!$I$9:$I$874,B295)</f>
        <v>0</v>
      </c>
      <c r="F295" s="30">
        <f>COUNTIFS('AT. MEDICAS 2024'!$A$9:$A$874,"04/12/2025",'AT. MEDICAS 2024'!$I$9:$I$874,B295)</f>
        <v>0</v>
      </c>
      <c r="G295" s="30">
        <f>COUNTIFS('AT. MEDICAS 2024'!$A$9:$A$874,"05/12/2025",'AT. MEDICAS 2024'!$I$9:$I$874,B295)</f>
        <v>0</v>
      </c>
      <c r="H295" s="30">
        <f>COUNTIFS('AT. MEDICAS 2024'!$A$9:$A$874,"06/12/2025",'AT. MEDICAS 2024'!$I$9:$I$874,B295)</f>
        <v>0</v>
      </c>
      <c r="I295" s="30">
        <f>COUNTIFS('AT. MEDICAS 2024'!$A$9:$A$874,"07/12/2025",'AT. MEDICAS 2024'!$I$9:$I$874,B295)</f>
        <v>0</v>
      </c>
      <c r="J295" s="30">
        <f>COUNTIFS('AT. MEDICAS 2024'!$A$9:$A$874,"08/12/2025",'AT. MEDICAS 2024'!$I$9:$I$874,B295)</f>
        <v>0</v>
      </c>
      <c r="K295" s="30">
        <f>COUNTIFS('AT. MEDICAS 2024'!$A$9:$A$874,"09/12/2025",'AT. MEDICAS 2024'!$I$9:$I$874,B295)</f>
        <v>0</v>
      </c>
      <c r="L295" s="30">
        <f>COUNTIFS('AT. MEDICAS 2024'!$A$9:$A$874,"10/12/2025",'AT. MEDICAS 2024'!$I$9:$I$874,B295)</f>
        <v>0</v>
      </c>
      <c r="M295" s="30">
        <f>COUNTIFS('AT. MEDICAS 2024'!$A$9:$A$874,"11/12/2025",'AT. MEDICAS 2024'!$I$9:$I$874,B295)</f>
        <v>0</v>
      </c>
      <c r="N295" s="30">
        <f>COUNTIFS('AT. MEDICAS 2024'!$A$9:$A$874,"12/12/2025",'AT. MEDICAS 2024'!$I$9:$I$874,B295)</f>
        <v>0</v>
      </c>
      <c r="O295" s="30">
        <f>COUNTIFS('AT. MEDICAS 2024'!$A$9:$A$874,"13/12/2025",'AT. MEDICAS 2024'!$I$9:$I$874,B295)</f>
        <v>0</v>
      </c>
      <c r="P295" s="30">
        <f>COUNTIFS('AT. MEDICAS 2024'!$A$9:$A$874,"14/12/2025",'AT. MEDICAS 2024'!$I$9:$I$874,B295)</f>
        <v>0</v>
      </c>
      <c r="Q295" s="30">
        <f>COUNTIFS('AT. MEDICAS 2024'!$A$9:$A$874,"15/12/2025",'AT. MEDICAS 2024'!$I$9:$I$874,B295)</f>
        <v>0</v>
      </c>
      <c r="R295" s="30">
        <f>COUNTIFS('AT. MEDICAS 2024'!$A$9:$A$874,"16/12/2025",'AT. MEDICAS 2024'!$I$9:$I$874,B295)</f>
        <v>0</v>
      </c>
      <c r="S295" s="30">
        <f>COUNTIFS('AT. MEDICAS 2024'!$A$9:$A$874,"17/12/2025",'AT. MEDICAS 2024'!$I$9:$I$874,B295)</f>
        <v>0</v>
      </c>
      <c r="T295" s="30">
        <f>COUNTIFS('AT. MEDICAS 2024'!$A$9:$A$874,"18/12/2025",'AT. MEDICAS 2024'!$I$9:$I$874,B295)</f>
        <v>0</v>
      </c>
      <c r="U295" s="30">
        <f>COUNTIFS('AT. MEDICAS 2024'!$A$9:$A$874,"19/12/2025",'AT. MEDICAS 2024'!$I$9:$I$874,B295)</f>
        <v>0</v>
      </c>
      <c r="V295" s="30">
        <f>COUNTIFS('AT. MEDICAS 2024'!$A$9:$A$874,"20/12/2025",'AT. MEDICAS 2024'!$I$9:$I$874,B295)</f>
        <v>0</v>
      </c>
      <c r="W295" s="30">
        <f>COUNTIFS('AT. MEDICAS 2024'!$A$9:$A$874,"21/12/2025",'AT. MEDICAS 2024'!$I$9:$I$874,B295)</f>
        <v>0</v>
      </c>
      <c r="X295" s="30">
        <f>COUNTIFS('AT. MEDICAS 2024'!$A$9:$A$874,"22/12/2025",'AT. MEDICAS 2024'!$I$9:$I$874,B295)</f>
        <v>0</v>
      </c>
      <c r="Y295" s="30">
        <f>COUNTIFS('AT. MEDICAS 2024'!$A$9:$A$874,"23/12/2025",'AT. MEDICAS 2024'!$I$9:$I$874,B295)</f>
        <v>0</v>
      </c>
      <c r="Z295" s="30">
        <f>COUNTIFS('AT. MEDICAS 2024'!$A$9:$A$874,"24/12/2025",'AT. MEDICAS 2024'!$I$9:$I$874,B295)</f>
        <v>0</v>
      </c>
      <c r="AA295" s="30">
        <f>COUNTIFS('AT. MEDICAS 2024'!$A$9:$A$874,"25/12/2025",'AT. MEDICAS 2024'!$I$9:$I$874,B295)</f>
        <v>0</v>
      </c>
      <c r="AB295" s="30">
        <f>COUNTIFS('AT. MEDICAS 2024'!$A$9:$A$874,"26/12/2025",'AT. MEDICAS 2024'!$I$9:$I$874,B295)</f>
        <v>0</v>
      </c>
      <c r="AC295" s="30">
        <f>COUNTIFS('AT. MEDICAS 2024'!$A$9:$A$874,"27/12/2025",'AT. MEDICAS 2024'!$I$9:$I$874,B295)</f>
        <v>0</v>
      </c>
      <c r="AD295" s="30">
        <f>COUNTIFS('AT. MEDICAS 2024'!$A$9:$A$874,"28/12/2025",'AT. MEDICAS 2024'!$I$9:$I$874,B295)</f>
        <v>0</v>
      </c>
      <c r="AE295" s="30">
        <f>COUNTIFS('AT. MEDICAS 2024'!$A$9:$A$874,"29/12/2025",'AT. MEDICAS 2024'!$I$9:$I$874,B295)</f>
        <v>0</v>
      </c>
      <c r="AF295" s="30">
        <f>COUNTIFS('AT. MEDICAS 2024'!$A$9:$A$874,"30/12/2025",'AT. MEDICAS 2024'!$I$9:$I$874,B295)</f>
        <v>0</v>
      </c>
      <c r="AG295" s="30">
        <f>COUNTIFS('AT. MEDICAS 2024'!$A$9:$A$874,"31/12/2025",'AT. MEDICAS 2024'!$I$9:$I$874,B295)</f>
        <v>0</v>
      </c>
      <c r="AH295" s="55">
        <f t="shared" si="33"/>
        <v>0</v>
      </c>
    </row>
    <row r="296" spans="1:34" ht="13.8" thickBot="1" x14ac:dyDescent="0.3">
      <c r="A296" s="41">
        <v>11</v>
      </c>
      <c r="B296" s="54" t="s">
        <v>21</v>
      </c>
      <c r="C296" s="30">
        <f>COUNTIFS('AT. MEDICAS 2024'!$A$9:$A$874,"01/12/2025",'AT. MEDICAS 2024'!$I$9:$I$874,B296)</f>
        <v>0</v>
      </c>
      <c r="D296" s="30">
        <f>COUNTIFS('AT. MEDICAS 2024'!$A$9:$A$874,"02/12/2025",'AT. MEDICAS 2024'!$I$9:$I$874,B296)</f>
        <v>0</v>
      </c>
      <c r="E296" s="30">
        <f>COUNTIFS('AT. MEDICAS 2024'!$A$9:$A$874,"03/12/2025",'AT. MEDICAS 2024'!$I$9:$I$874,B296)</f>
        <v>0</v>
      </c>
      <c r="F296" s="30">
        <f>COUNTIFS('AT. MEDICAS 2024'!$A$9:$A$874,"04/12/2025",'AT. MEDICAS 2024'!$I$9:$I$874,B296)</f>
        <v>0</v>
      </c>
      <c r="G296" s="30">
        <f>COUNTIFS('AT. MEDICAS 2024'!$A$9:$A$874,"05/12/2025",'AT. MEDICAS 2024'!$I$9:$I$874,B296)</f>
        <v>0</v>
      </c>
      <c r="H296" s="30">
        <f>COUNTIFS('AT. MEDICAS 2024'!$A$9:$A$874,"06/12/2025",'AT. MEDICAS 2024'!$I$9:$I$874,B296)</f>
        <v>0</v>
      </c>
      <c r="I296" s="30">
        <f>COUNTIFS('AT. MEDICAS 2024'!$A$9:$A$874,"07/12/2025",'AT. MEDICAS 2024'!$I$9:$I$874,B296)</f>
        <v>0</v>
      </c>
      <c r="J296" s="30">
        <f>COUNTIFS('AT. MEDICAS 2024'!$A$9:$A$874,"08/12/2025",'AT. MEDICAS 2024'!$I$9:$I$874,B296)</f>
        <v>0</v>
      </c>
      <c r="K296" s="30">
        <f>COUNTIFS('AT. MEDICAS 2024'!$A$9:$A$874,"09/12/2025",'AT. MEDICAS 2024'!$I$9:$I$874,B296)</f>
        <v>0</v>
      </c>
      <c r="L296" s="30">
        <f>COUNTIFS('AT. MEDICAS 2024'!$A$9:$A$874,"10/12/2025",'AT. MEDICAS 2024'!$I$9:$I$874,B296)</f>
        <v>0</v>
      </c>
      <c r="M296" s="30">
        <f>COUNTIFS('AT. MEDICAS 2024'!$A$9:$A$874,"11/12/2025",'AT. MEDICAS 2024'!$I$9:$I$874,B296)</f>
        <v>0</v>
      </c>
      <c r="N296" s="30">
        <f>COUNTIFS('AT. MEDICAS 2024'!$A$9:$A$874,"12/12/2025",'AT. MEDICAS 2024'!$I$9:$I$874,B296)</f>
        <v>0</v>
      </c>
      <c r="O296" s="30">
        <f>COUNTIFS('AT. MEDICAS 2024'!$A$9:$A$874,"13/12/2025",'AT. MEDICAS 2024'!$I$9:$I$874,B296)</f>
        <v>0</v>
      </c>
      <c r="P296" s="30">
        <f>COUNTIFS('AT. MEDICAS 2024'!$A$9:$A$874,"14/12/2025",'AT. MEDICAS 2024'!$I$9:$I$874,B296)</f>
        <v>0</v>
      </c>
      <c r="Q296" s="30">
        <f>COUNTIFS('AT. MEDICAS 2024'!$A$9:$A$874,"15/12/2025",'AT. MEDICAS 2024'!$I$9:$I$874,B296)</f>
        <v>0</v>
      </c>
      <c r="R296" s="30">
        <f>COUNTIFS('AT. MEDICAS 2024'!$A$9:$A$874,"16/12/2025",'AT. MEDICAS 2024'!$I$9:$I$874,B296)</f>
        <v>0</v>
      </c>
      <c r="S296" s="30">
        <f>COUNTIFS('AT. MEDICAS 2024'!$A$9:$A$874,"17/12/2025",'AT. MEDICAS 2024'!$I$9:$I$874,B296)</f>
        <v>0</v>
      </c>
      <c r="T296" s="30">
        <f>COUNTIFS('AT. MEDICAS 2024'!$A$9:$A$874,"18/12/2025",'AT. MEDICAS 2024'!$I$9:$I$874,B296)</f>
        <v>0</v>
      </c>
      <c r="U296" s="30">
        <f>COUNTIFS('AT. MEDICAS 2024'!$A$9:$A$874,"19/12/2025",'AT. MEDICAS 2024'!$I$9:$I$874,B296)</f>
        <v>0</v>
      </c>
      <c r="V296" s="30">
        <f>COUNTIFS('AT. MEDICAS 2024'!$A$9:$A$874,"20/12/2025",'AT. MEDICAS 2024'!$I$9:$I$874,B296)</f>
        <v>0</v>
      </c>
      <c r="W296" s="30">
        <f>COUNTIFS('AT. MEDICAS 2024'!$A$9:$A$874,"21/12/2025",'AT. MEDICAS 2024'!$I$9:$I$874,B296)</f>
        <v>0</v>
      </c>
      <c r="X296" s="30">
        <f>COUNTIFS('AT. MEDICAS 2024'!$A$9:$A$874,"22/12/2025",'AT. MEDICAS 2024'!$I$9:$I$874,B296)</f>
        <v>0</v>
      </c>
      <c r="Y296" s="30">
        <f>COUNTIFS('AT. MEDICAS 2024'!$A$9:$A$874,"23/12/2025",'AT. MEDICAS 2024'!$I$9:$I$874,B296)</f>
        <v>0</v>
      </c>
      <c r="Z296" s="30">
        <f>COUNTIFS('AT. MEDICAS 2024'!$A$9:$A$874,"24/12/2025",'AT. MEDICAS 2024'!$I$9:$I$874,B296)</f>
        <v>0</v>
      </c>
      <c r="AA296" s="30">
        <f>COUNTIFS('AT. MEDICAS 2024'!$A$9:$A$874,"25/12/2025",'AT. MEDICAS 2024'!$I$9:$I$874,B296)</f>
        <v>0</v>
      </c>
      <c r="AB296" s="30">
        <f>COUNTIFS('AT. MEDICAS 2024'!$A$9:$A$874,"26/12/2025",'AT. MEDICAS 2024'!$I$9:$I$874,B296)</f>
        <v>0</v>
      </c>
      <c r="AC296" s="30">
        <f>COUNTIFS('AT. MEDICAS 2024'!$A$9:$A$874,"27/12/2025",'AT. MEDICAS 2024'!$I$9:$I$874,B296)</f>
        <v>0</v>
      </c>
      <c r="AD296" s="30">
        <f>COUNTIFS('AT. MEDICAS 2024'!$A$9:$A$874,"28/12/2025",'AT. MEDICAS 2024'!$I$9:$I$874,B296)</f>
        <v>0</v>
      </c>
      <c r="AE296" s="30">
        <f>COUNTIFS('AT. MEDICAS 2024'!$A$9:$A$874,"29/12/2025",'AT. MEDICAS 2024'!$I$9:$I$874,B296)</f>
        <v>0</v>
      </c>
      <c r="AF296" s="30">
        <f>COUNTIFS('AT. MEDICAS 2024'!$A$9:$A$874,"30/12/2025",'AT. MEDICAS 2024'!$I$9:$I$874,B296)</f>
        <v>0</v>
      </c>
      <c r="AG296" s="30">
        <f>COUNTIFS('AT. MEDICAS 2024'!$A$9:$A$874,"31/12/2025",'AT. MEDICAS 2024'!$I$9:$I$874,B296)</f>
        <v>0</v>
      </c>
      <c r="AH296" s="55">
        <f t="shared" si="33"/>
        <v>0</v>
      </c>
    </row>
    <row r="297" spans="1:34" ht="13.8" thickBot="1" x14ac:dyDescent="0.3">
      <c r="A297" s="41">
        <v>12</v>
      </c>
      <c r="B297" s="54" t="s">
        <v>23</v>
      </c>
      <c r="C297" s="30">
        <f>COUNTIFS('AT. MEDICAS 2024'!$A$9:$A$874,"01/12/2025",'AT. MEDICAS 2024'!$I$9:$I$874,B297)</f>
        <v>0</v>
      </c>
      <c r="D297" s="30">
        <f>COUNTIFS('AT. MEDICAS 2024'!$A$9:$A$874,"02/12/2025",'AT. MEDICAS 2024'!$I$9:$I$874,B297)</f>
        <v>0</v>
      </c>
      <c r="E297" s="30">
        <f>COUNTIFS('AT. MEDICAS 2024'!$A$9:$A$874,"03/12/2025",'AT. MEDICAS 2024'!$I$9:$I$874,B297)</f>
        <v>0</v>
      </c>
      <c r="F297" s="30">
        <f>COUNTIFS('AT. MEDICAS 2024'!$A$9:$A$874,"04/12/2025",'AT. MEDICAS 2024'!$I$9:$I$874,B297)</f>
        <v>0</v>
      </c>
      <c r="G297" s="30">
        <f>COUNTIFS('AT. MEDICAS 2024'!$A$9:$A$874,"05/12/2025",'AT. MEDICAS 2024'!$I$9:$I$874,B297)</f>
        <v>0</v>
      </c>
      <c r="H297" s="30">
        <f>COUNTIFS('AT. MEDICAS 2024'!$A$9:$A$874,"06/12/2025",'AT. MEDICAS 2024'!$I$9:$I$874,B297)</f>
        <v>0</v>
      </c>
      <c r="I297" s="30">
        <f>COUNTIFS('AT. MEDICAS 2024'!$A$9:$A$874,"07/12/2025",'AT. MEDICAS 2024'!$I$9:$I$874,B297)</f>
        <v>0</v>
      </c>
      <c r="J297" s="30">
        <f>COUNTIFS('AT. MEDICAS 2024'!$A$9:$A$874,"08/12/2025",'AT. MEDICAS 2024'!$I$9:$I$874,B297)</f>
        <v>0</v>
      </c>
      <c r="K297" s="30">
        <f>COUNTIFS('AT. MEDICAS 2024'!$A$9:$A$874,"09/12/2025",'AT. MEDICAS 2024'!$I$9:$I$874,B297)</f>
        <v>0</v>
      </c>
      <c r="L297" s="30">
        <f>COUNTIFS('AT. MEDICAS 2024'!$A$9:$A$874,"10/12/2025",'AT. MEDICAS 2024'!$I$9:$I$874,B297)</f>
        <v>0</v>
      </c>
      <c r="M297" s="30">
        <f>COUNTIFS('AT. MEDICAS 2024'!$A$9:$A$874,"11/12/2025",'AT. MEDICAS 2024'!$I$9:$I$874,B297)</f>
        <v>0</v>
      </c>
      <c r="N297" s="30">
        <f>COUNTIFS('AT. MEDICAS 2024'!$A$9:$A$874,"12/12/2025",'AT. MEDICAS 2024'!$I$9:$I$874,B297)</f>
        <v>0</v>
      </c>
      <c r="O297" s="30">
        <f>COUNTIFS('AT. MEDICAS 2024'!$A$9:$A$874,"13/12/2025",'AT. MEDICAS 2024'!$I$9:$I$874,B297)</f>
        <v>0</v>
      </c>
      <c r="P297" s="30">
        <f>COUNTIFS('AT. MEDICAS 2024'!$A$9:$A$874,"14/12/2025",'AT. MEDICAS 2024'!$I$9:$I$874,B297)</f>
        <v>0</v>
      </c>
      <c r="Q297" s="30">
        <f>COUNTIFS('AT. MEDICAS 2024'!$A$9:$A$874,"15/12/2025",'AT. MEDICAS 2024'!$I$9:$I$874,B297)</f>
        <v>0</v>
      </c>
      <c r="R297" s="30">
        <f>COUNTIFS('AT. MEDICAS 2024'!$A$9:$A$874,"16/12/2025",'AT. MEDICAS 2024'!$I$9:$I$874,B297)</f>
        <v>0</v>
      </c>
      <c r="S297" s="30">
        <f>COUNTIFS('AT. MEDICAS 2024'!$A$9:$A$874,"17/12/2025",'AT. MEDICAS 2024'!$I$9:$I$874,B297)</f>
        <v>0</v>
      </c>
      <c r="T297" s="30">
        <f>COUNTIFS('AT. MEDICAS 2024'!$A$9:$A$874,"18/12/2025",'AT. MEDICAS 2024'!$I$9:$I$874,B297)</f>
        <v>0</v>
      </c>
      <c r="U297" s="30">
        <f>COUNTIFS('AT. MEDICAS 2024'!$A$9:$A$874,"19/12/2025",'AT. MEDICAS 2024'!$I$9:$I$874,B297)</f>
        <v>0</v>
      </c>
      <c r="V297" s="30">
        <f>COUNTIFS('AT. MEDICAS 2024'!$A$9:$A$874,"20/12/2025",'AT. MEDICAS 2024'!$I$9:$I$874,B297)</f>
        <v>0</v>
      </c>
      <c r="W297" s="30">
        <f>COUNTIFS('AT. MEDICAS 2024'!$A$9:$A$874,"21/12/2025",'AT. MEDICAS 2024'!$I$9:$I$874,B297)</f>
        <v>0</v>
      </c>
      <c r="X297" s="30">
        <f>COUNTIFS('AT. MEDICAS 2024'!$A$9:$A$874,"22/12/2025",'AT. MEDICAS 2024'!$I$9:$I$874,B297)</f>
        <v>0</v>
      </c>
      <c r="Y297" s="30">
        <f>COUNTIFS('AT. MEDICAS 2024'!$A$9:$A$874,"23/12/2025",'AT. MEDICAS 2024'!$I$9:$I$874,B297)</f>
        <v>0</v>
      </c>
      <c r="Z297" s="30">
        <f>COUNTIFS('AT. MEDICAS 2024'!$A$9:$A$874,"24/12/2025",'AT. MEDICAS 2024'!$I$9:$I$874,B297)</f>
        <v>0</v>
      </c>
      <c r="AA297" s="30">
        <f>COUNTIFS('AT. MEDICAS 2024'!$A$9:$A$874,"25/12/2025",'AT. MEDICAS 2024'!$I$9:$I$874,B297)</f>
        <v>0</v>
      </c>
      <c r="AB297" s="30">
        <f>COUNTIFS('AT. MEDICAS 2024'!$A$9:$A$874,"26/12/2025",'AT. MEDICAS 2024'!$I$9:$I$874,B297)</f>
        <v>0</v>
      </c>
      <c r="AC297" s="30">
        <f>COUNTIFS('AT. MEDICAS 2024'!$A$9:$A$874,"27/12/2025",'AT. MEDICAS 2024'!$I$9:$I$874,B297)</f>
        <v>0</v>
      </c>
      <c r="AD297" s="30">
        <f>COUNTIFS('AT. MEDICAS 2024'!$A$9:$A$874,"28/12/2025",'AT. MEDICAS 2024'!$I$9:$I$874,B297)</f>
        <v>0</v>
      </c>
      <c r="AE297" s="30">
        <f>COUNTIFS('AT. MEDICAS 2024'!$A$9:$A$874,"29/12/2025",'AT. MEDICAS 2024'!$I$9:$I$874,B297)</f>
        <v>0</v>
      </c>
      <c r="AF297" s="30">
        <f>COUNTIFS('AT. MEDICAS 2024'!$A$9:$A$874,"30/12/2025",'AT. MEDICAS 2024'!$I$9:$I$874,B297)</f>
        <v>0</v>
      </c>
      <c r="AG297" s="30">
        <f>COUNTIFS('AT. MEDICAS 2024'!$A$9:$A$874,"31/12/2025",'AT. MEDICAS 2024'!$I$9:$I$874,B297)</f>
        <v>0</v>
      </c>
      <c r="AH297" s="55">
        <f t="shared" si="33"/>
        <v>0</v>
      </c>
    </row>
    <row r="298" spans="1:34" ht="13.8" thickBot="1" x14ac:dyDescent="0.3">
      <c r="A298" s="41">
        <v>13</v>
      </c>
      <c r="B298" s="54" t="s">
        <v>57</v>
      </c>
      <c r="C298" s="30">
        <f>COUNTIFS('AT. MEDICAS 2024'!$A$9:$A$874,"01/12/2025",'AT. MEDICAS 2024'!$I$9:$I$874,B298)</f>
        <v>0</v>
      </c>
      <c r="D298" s="30">
        <f>COUNTIFS('AT. MEDICAS 2024'!$A$9:$A$874,"02/12/2025",'AT. MEDICAS 2024'!$I$9:$I$874,B298)</f>
        <v>0</v>
      </c>
      <c r="E298" s="30">
        <f>COUNTIFS('AT. MEDICAS 2024'!$A$9:$A$874,"03/12/2025",'AT. MEDICAS 2024'!$I$9:$I$874,B298)</f>
        <v>0</v>
      </c>
      <c r="F298" s="30">
        <f>COUNTIFS('AT. MEDICAS 2024'!$A$9:$A$874,"04/12/2025",'AT. MEDICAS 2024'!$I$9:$I$874,B298)</f>
        <v>0</v>
      </c>
      <c r="G298" s="30">
        <f>COUNTIFS('AT. MEDICAS 2024'!$A$9:$A$874,"05/12/2025",'AT. MEDICAS 2024'!$I$9:$I$874,B298)</f>
        <v>0</v>
      </c>
      <c r="H298" s="30">
        <f>COUNTIFS('AT. MEDICAS 2024'!$A$9:$A$874,"06/12/2025",'AT. MEDICAS 2024'!$I$9:$I$874,B298)</f>
        <v>0</v>
      </c>
      <c r="I298" s="30">
        <f>COUNTIFS('AT. MEDICAS 2024'!$A$9:$A$874,"07/12/2025",'AT. MEDICAS 2024'!$I$9:$I$874,B298)</f>
        <v>0</v>
      </c>
      <c r="J298" s="30">
        <f>COUNTIFS('AT. MEDICAS 2024'!$A$9:$A$874,"08/12/2025",'AT. MEDICAS 2024'!$I$9:$I$874,B298)</f>
        <v>0</v>
      </c>
      <c r="K298" s="30">
        <f>COUNTIFS('AT. MEDICAS 2024'!$A$9:$A$874,"09/12/2025",'AT. MEDICAS 2024'!$I$9:$I$874,B298)</f>
        <v>0</v>
      </c>
      <c r="L298" s="30">
        <f>COUNTIFS('AT. MEDICAS 2024'!$A$9:$A$874,"10/12/2025",'AT. MEDICAS 2024'!$I$9:$I$874,B298)</f>
        <v>0</v>
      </c>
      <c r="M298" s="30">
        <f>COUNTIFS('AT. MEDICAS 2024'!$A$9:$A$874,"11/12/2025",'AT. MEDICAS 2024'!$I$9:$I$874,B298)</f>
        <v>0</v>
      </c>
      <c r="N298" s="30">
        <f>COUNTIFS('AT. MEDICAS 2024'!$A$9:$A$874,"12/12/2025",'AT. MEDICAS 2024'!$I$9:$I$874,B298)</f>
        <v>0</v>
      </c>
      <c r="O298" s="30">
        <f>COUNTIFS('AT. MEDICAS 2024'!$A$9:$A$874,"13/12/2025",'AT. MEDICAS 2024'!$I$9:$I$874,B298)</f>
        <v>0</v>
      </c>
      <c r="P298" s="30">
        <f>COUNTIFS('AT. MEDICAS 2024'!$A$9:$A$874,"14/12/2025",'AT. MEDICAS 2024'!$I$9:$I$874,B298)</f>
        <v>0</v>
      </c>
      <c r="Q298" s="30">
        <f>COUNTIFS('AT. MEDICAS 2024'!$A$9:$A$874,"15/12/2025",'AT. MEDICAS 2024'!$I$9:$I$874,B298)</f>
        <v>0</v>
      </c>
      <c r="R298" s="30">
        <f>COUNTIFS('AT. MEDICAS 2024'!$A$9:$A$874,"16/12/2025",'AT. MEDICAS 2024'!$I$9:$I$874,B298)</f>
        <v>0</v>
      </c>
      <c r="S298" s="30">
        <f>COUNTIFS('AT. MEDICAS 2024'!$A$9:$A$874,"17/12/2025",'AT. MEDICAS 2024'!$I$9:$I$874,B298)</f>
        <v>0</v>
      </c>
      <c r="T298" s="30">
        <f>COUNTIFS('AT. MEDICAS 2024'!$A$9:$A$874,"18/12/2025",'AT. MEDICAS 2024'!$I$9:$I$874,B298)</f>
        <v>0</v>
      </c>
      <c r="U298" s="30">
        <f>COUNTIFS('AT. MEDICAS 2024'!$A$9:$A$874,"19/12/2025",'AT. MEDICAS 2024'!$I$9:$I$874,B298)</f>
        <v>0</v>
      </c>
      <c r="V298" s="30">
        <f>COUNTIFS('AT. MEDICAS 2024'!$A$9:$A$874,"20/12/2025",'AT. MEDICAS 2024'!$I$9:$I$874,B298)</f>
        <v>0</v>
      </c>
      <c r="W298" s="30">
        <f>COUNTIFS('AT. MEDICAS 2024'!$A$9:$A$874,"21/12/2025",'AT. MEDICAS 2024'!$I$9:$I$874,B298)</f>
        <v>0</v>
      </c>
      <c r="X298" s="30">
        <f>COUNTIFS('AT. MEDICAS 2024'!$A$9:$A$874,"22/12/2025",'AT. MEDICAS 2024'!$I$9:$I$874,B298)</f>
        <v>0</v>
      </c>
      <c r="Y298" s="30">
        <f>COUNTIFS('AT. MEDICAS 2024'!$A$9:$A$874,"23/12/2025",'AT. MEDICAS 2024'!$I$9:$I$874,B298)</f>
        <v>0</v>
      </c>
      <c r="Z298" s="30">
        <f>COUNTIFS('AT. MEDICAS 2024'!$A$9:$A$874,"24/12/2025",'AT. MEDICAS 2024'!$I$9:$I$874,B298)</f>
        <v>0</v>
      </c>
      <c r="AA298" s="30">
        <f>COUNTIFS('AT. MEDICAS 2024'!$A$9:$A$874,"25/12/2025",'AT. MEDICAS 2024'!$I$9:$I$874,B298)</f>
        <v>0</v>
      </c>
      <c r="AB298" s="30">
        <f>COUNTIFS('AT. MEDICAS 2024'!$A$9:$A$874,"26/12/2025",'AT. MEDICAS 2024'!$I$9:$I$874,B298)</f>
        <v>0</v>
      </c>
      <c r="AC298" s="30">
        <f>COUNTIFS('AT. MEDICAS 2024'!$A$9:$A$874,"27/12/2025",'AT. MEDICAS 2024'!$I$9:$I$874,B298)</f>
        <v>0</v>
      </c>
      <c r="AD298" s="30">
        <f>COUNTIFS('AT. MEDICAS 2024'!$A$9:$A$874,"28/12/2025",'AT. MEDICAS 2024'!$I$9:$I$874,B298)</f>
        <v>0</v>
      </c>
      <c r="AE298" s="30">
        <f>COUNTIFS('AT. MEDICAS 2024'!$A$9:$A$874,"29/12/2025",'AT. MEDICAS 2024'!$I$9:$I$874,B298)</f>
        <v>0</v>
      </c>
      <c r="AF298" s="30">
        <f>COUNTIFS('AT. MEDICAS 2024'!$A$9:$A$874,"30/12/2025",'AT. MEDICAS 2024'!$I$9:$I$874,B298)</f>
        <v>0</v>
      </c>
      <c r="AG298" s="30">
        <f>COUNTIFS('AT. MEDICAS 2024'!$A$9:$A$874,"31/12/2025",'AT. MEDICAS 2024'!$I$9:$I$874,B298)</f>
        <v>0</v>
      </c>
      <c r="AH298" s="55">
        <f t="shared" si="33"/>
        <v>0</v>
      </c>
    </row>
    <row r="299" spans="1:34" ht="13.8" thickBot="1" x14ac:dyDescent="0.3">
      <c r="A299" s="41">
        <v>14</v>
      </c>
      <c r="B299" s="54" t="s">
        <v>66</v>
      </c>
      <c r="C299" s="30">
        <f>COUNTIFS('AT. MEDICAS 2024'!$A$9:$A$874,"01/12/2025",'AT. MEDICAS 2024'!$I$9:$I$874,B299)</f>
        <v>0</v>
      </c>
      <c r="D299" s="30">
        <f>COUNTIFS('AT. MEDICAS 2024'!$A$9:$A$874,"02/12/2025",'AT. MEDICAS 2024'!$I$9:$I$874,B299)</f>
        <v>0</v>
      </c>
      <c r="E299" s="30">
        <f>COUNTIFS('AT. MEDICAS 2024'!$A$9:$A$874,"03/12/2025",'AT. MEDICAS 2024'!$I$9:$I$874,B299)</f>
        <v>0</v>
      </c>
      <c r="F299" s="30">
        <f>COUNTIFS('AT. MEDICAS 2024'!$A$9:$A$874,"04/12/2025",'AT. MEDICAS 2024'!$I$9:$I$874,B299)</f>
        <v>0</v>
      </c>
      <c r="G299" s="30">
        <f>COUNTIFS('AT. MEDICAS 2024'!$A$9:$A$874,"05/12/2025",'AT. MEDICAS 2024'!$I$9:$I$874,B299)</f>
        <v>0</v>
      </c>
      <c r="H299" s="30">
        <f>COUNTIFS('AT. MEDICAS 2024'!$A$9:$A$874,"06/12/2025",'AT. MEDICAS 2024'!$I$9:$I$874,B299)</f>
        <v>0</v>
      </c>
      <c r="I299" s="30">
        <f>COUNTIFS('AT. MEDICAS 2024'!$A$9:$A$874,"07/12/2025",'AT. MEDICAS 2024'!$I$9:$I$874,B299)</f>
        <v>0</v>
      </c>
      <c r="J299" s="30">
        <f>COUNTIFS('AT. MEDICAS 2024'!$A$9:$A$874,"08/12/2025",'AT. MEDICAS 2024'!$I$9:$I$874,B299)</f>
        <v>0</v>
      </c>
      <c r="K299" s="30">
        <f>COUNTIFS('AT. MEDICAS 2024'!$A$9:$A$874,"09/12/2025",'AT. MEDICAS 2024'!$I$9:$I$874,B299)</f>
        <v>0</v>
      </c>
      <c r="L299" s="30">
        <f>COUNTIFS('AT. MEDICAS 2024'!$A$9:$A$874,"10/12/2025",'AT. MEDICAS 2024'!$I$9:$I$874,B299)</f>
        <v>0</v>
      </c>
      <c r="M299" s="30">
        <f>COUNTIFS('AT. MEDICAS 2024'!$A$9:$A$874,"11/12/2025",'AT. MEDICAS 2024'!$I$9:$I$874,B299)</f>
        <v>0</v>
      </c>
      <c r="N299" s="30">
        <f>COUNTIFS('AT. MEDICAS 2024'!$A$9:$A$874,"12/12/2025",'AT. MEDICAS 2024'!$I$9:$I$874,B299)</f>
        <v>0</v>
      </c>
      <c r="O299" s="30">
        <f>COUNTIFS('AT. MEDICAS 2024'!$A$9:$A$874,"13/12/2025",'AT. MEDICAS 2024'!$I$9:$I$874,B299)</f>
        <v>0</v>
      </c>
      <c r="P299" s="30">
        <f>COUNTIFS('AT. MEDICAS 2024'!$A$9:$A$874,"14/12/2025",'AT. MEDICAS 2024'!$I$9:$I$874,B299)</f>
        <v>0</v>
      </c>
      <c r="Q299" s="30">
        <f>COUNTIFS('AT. MEDICAS 2024'!$A$9:$A$874,"15/12/2025",'AT. MEDICAS 2024'!$I$9:$I$874,B299)</f>
        <v>0</v>
      </c>
      <c r="R299" s="30">
        <f>COUNTIFS('AT. MEDICAS 2024'!$A$9:$A$874,"16/12/2025",'AT. MEDICAS 2024'!$I$9:$I$874,B299)</f>
        <v>0</v>
      </c>
      <c r="S299" s="30">
        <f>COUNTIFS('AT. MEDICAS 2024'!$A$9:$A$874,"17/12/2025",'AT. MEDICAS 2024'!$I$9:$I$874,B299)</f>
        <v>0</v>
      </c>
      <c r="T299" s="30">
        <f>COUNTIFS('AT. MEDICAS 2024'!$A$9:$A$874,"18/12/2025",'AT. MEDICAS 2024'!$I$9:$I$874,B299)</f>
        <v>0</v>
      </c>
      <c r="U299" s="30">
        <f>COUNTIFS('AT. MEDICAS 2024'!$A$9:$A$874,"19/12/2025",'AT. MEDICAS 2024'!$I$9:$I$874,B299)</f>
        <v>0</v>
      </c>
      <c r="V299" s="30">
        <f>COUNTIFS('AT. MEDICAS 2024'!$A$9:$A$874,"20/12/2025",'AT. MEDICAS 2024'!$I$9:$I$874,B299)</f>
        <v>0</v>
      </c>
      <c r="W299" s="30">
        <f>COUNTIFS('AT. MEDICAS 2024'!$A$9:$A$874,"21/12/2025",'AT. MEDICAS 2024'!$I$9:$I$874,B299)</f>
        <v>0</v>
      </c>
      <c r="X299" s="30">
        <f>COUNTIFS('AT. MEDICAS 2024'!$A$9:$A$874,"22/12/2025",'AT. MEDICAS 2024'!$I$9:$I$874,B299)</f>
        <v>0</v>
      </c>
      <c r="Y299" s="30">
        <f>COUNTIFS('AT. MEDICAS 2024'!$A$9:$A$874,"23/12/2025",'AT. MEDICAS 2024'!$I$9:$I$874,B299)</f>
        <v>0</v>
      </c>
      <c r="Z299" s="30">
        <f>COUNTIFS('AT. MEDICAS 2024'!$A$9:$A$874,"24/12/2025",'AT. MEDICAS 2024'!$I$9:$I$874,B299)</f>
        <v>0</v>
      </c>
      <c r="AA299" s="30">
        <f>COUNTIFS('AT. MEDICAS 2024'!$A$9:$A$874,"25/12/2025",'AT. MEDICAS 2024'!$I$9:$I$874,B299)</f>
        <v>0</v>
      </c>
      <c r="AB299" s="30">
        <f>COUNTIFS('AT. MEDICAS 2024'!$A$9:$A$874,"26/12/2025",'AT. MEDICAS 2024'!$I$9:$I$874,B299)</f>
        <v>0</v>
      </c>
      <c r="AC299" s="30">
        <f>COUNTIFS('AT. MEDICAS 2024'!$A$9:$A$874,"27/12/2025",'AT. MEDICAS 2024'!$I$9:$I$874,B299)</f>
        <v>0</v>
      </c>
      <c r="AD299" s="30">
        <f>COUNTIFS('AT. MEDICAS 2024'!$A$9:$A$874,"28/12/2025",'AT. MEDICAS 2024'!$I$9:$I$874,B299)</f>
        <v>0</v>
      </c>
      <c r="AE299" s="30">
        <f>COUNTIFS('AT. MEDICAS 2024'!$A$9:$A$874,"29/12/2025",'AT. MEDICAS 2024'!$I$9:$I$874,B299)</f>
        <v>0</v>
      </c>
      <c r="AF299" s="30">
        <f>COUNTIFS('AT. MEDICAS 2024'!$A$9:$A$874,"30/12/2025",'AT. MEDICAS 2024'!$I$9:$I$874,B299)</f>
        <v>0</v>
      </c>
      <c r="AG299" s="30">
        <f>COUNTIFS('AT. MEDICAS 2024'!$A$9:$A$874,"31/12/2025",'AT. MEDICAS 2024'!$I$9:$I$874,B299)</f>
        <v>0</v>
      </c>
      <c r="AH299" s="55">
        <f t="shared" si="33"/>
        <v>0</v>
      </c>
    </row>
    <row r="300" spans="1:34" ht="13.8" thickBot="1" x14ac:dyDescent="0.3">
      <c r="A300" s="41">
        <v>15</v>
      </c>
      <c r="B300" s="54" t="s">
        <v>189</v>
      </c>
      <c r="C300" s="30">
        <f>COUNTIFS('AT. MEDICAS 2024'!$A$9:$A$874,"01/12/2025",'AT. MEDICAS 2024'!$I$9:$I$874,B300)</f>
        <v>0</v>
      </c>
      <c r="D300" s="30">
        <f>COUNTIFS('AT. MEDICAS 2024'!$A$9:$A$874,"02/12/2025",'AT. MEDICAS 2024'!$I$9:$I$874,B300)</f>
        <v>0</v>
      </c>
      <c r="E300" s="30">
        <f>COUNTIFS('AT. MEDICAS 2024'!$A$9:$A$874,"03/12/2025",'AT. MEDICAS 2024'!$I$9:$I$874,B300)</f>
        <v>0</v>
      </c>
      <c r="F300" s="30">
        <f>COUNTIFS('AT. MEDICAS 2024'!$A$9:$A$874,"04/12/2025",'AT. MEDICAS 2024'!$I$9:$I$874,B300)</f>
        <v>0</v>
      </c>
      <c r="G300" s="30">
        <f>COUNTIFS('AT. MEDICAS 2024'!$A$9:$A$874,"05/12/2025",'AT. MEDICAS 2024'!$I$9:$I$874,B300)</f>
        <v>0</v>
      </c>
      <c r="H300" s="30">
        <f>COUNTIFS('AT. MEDICAS 2024'!$A$9:$A$874,"06/12/2025",'AT. MEDICAS 2024'!$I$9:$I$874,B300)</f>
        <v>0</v>
      </c>
      <c r="I300" s="30">
        <f>COUNTIFS('AT. MEDICAS 2024'!$A$9:$A$874,"07/12/2025",'AT. MEDICAS 2024'!$I$9:$I$874,B300)</f>
        <v>0</v>
      </c>
      <c r="J300" s="30">
        <f>COUNTIFS('AT. MEDICAS 2024'!$A$9:$A$874,"08/12/2025",'AT. MEDICAS 2024'!$I$9:$I$874,B300)</f>
        <v>0</v>
      </c>
      <c r="K300" s="30">
        <f>COUNTIFS('AT. MEDICAS 2024'!$A$9:$A$874,"09/12/2025",'AT. MEDICAS 2024'!$I$9:$I$874,B300)</f>
        <v>0</v>
      </c>
      <c r="L300" s="30">
        <f>COUNTIFS('AT. MEDICAS 2024'!$A$9:$A$874,"10/12/2025",'AT. MEDICAS 2024'!$I$9:$I$874,B300)</f>
        <v>0</v>
      </c>
      <c r="M300" s="30">
        <f>COUNTIFS('AT. MEDICAS 2024'!$A$9:$A$874,"11/12/2025",'AT. MEDICAS 2024'!$I$9:$I$874,B300)</f>
        <v>0</v>
      </c>
      <c r="N300" s="30">
        <f>COUNTIFS('AT. MEDICAS 2024'!$A$9:$A$874,"12/12/2025",'AT. MEDICAS 2024'!$I$9:$I$874,B300)</f>
        <v>0</v>
      </c>
      <c r="O300" s="30">
        <f>COUNTIFS('AT. MEDICAS 2024'!$A$9:$A$874,"13/12/2025",'AT. MEDICAS 2024'!$I$9:$I$874,B300)</f>
        <v>0</v>
      </c>
      <c r="P300" s="30">
        <f>COUNTIFS('AT. MEDICAS 2024'!$A$9:$A$874,"14/12/2025",'AT. MEDICAS 2024'!$I$9:$I$874,B300)</f>
        <v>0</v>
      </c>
      <c r="Q300" s="30">
        <f>COUNTIFS('AT. MEDICAS 2024'!$A$9:$A$874,"15/12/2025",'AT. MEDICAS 2024'!$I$9:$I$874,B300)</f>
        <v>0</v>
      </c>
      <c r="R300" s="30">
        <f>COUNTIFS('AT. MEDICAS 2024'!$A$9:$A$874,"16/12/2025",'AT. MEDICAS 2024'!$I$9:$I$874,B300)</f>
        <v>0</v>
      </c>
      <c r="S300" s="30">
        <f>COUNTIFS('AT. MEDICAS 2024'!$A$9:$A$874,"17/12/2025",'AT. MEDICAS 2024'!$I$9:$I$874,B300)</f>
        <v>0</v>
      </c>
      <c r="T300" s="30">
        <f>COUNTIFS('AT. MEDICAS 2024'!$A$9:$A$874,"18/12/2025",'AT. MEDICAS 2024'!$I$9:$I$874,B300)</f>
        <v>0</v>
      </c>
      <c r="U300" s="30">
        <f>COUNTIFS('AT. MEDICAS 2024'!$A$9:$A$874,"19/12/2025",'AT. MEDICAS 2024'!$I$9:$I$874,B300)</f>
        <v>0</v>
      </c>
      <c r="V300" s="30">
        <f>COUNTIFS('AT. MEDICAS 2024'!$A$9:$A$874,"20/12/2025",'AT. MEDICAS 2024'!$I$9:$I$874,B300)</f>
        <v>0</v>
      </c>
      <c r="W300" s="30">
        <f>COUNTIFS('AT. MEDICAS 2024'!$A$9:$A$874,"21/12/2025",'AT. MEDICAS 2024'!$I$9:$I$874,B300)</f>
        <v>0</v>
      </c>
      <c r="X300" s="30">
        <f>COUNTIFS('AT. MEDICAS 2024'!$A$9:$A$874,"22/12/2025",'AT. MEDICAS 2024'!$I$9:$I$874,B300)</f>
        <v>0</v>
      </c>
      <c r="Y300" s="30">
        <f>COUNTIFS('AT. MEDICAS 2024'!$A$9:$A$874,"23/12/2025",'AT. MEDICAS 2024'!$I$9:$I$874,B300)</f>
        <v>0</v>
      </c>
      <c r="Z300" s="30">
        <f>COUNTIFS('AT. MEDICAS 2024'!$A$9:$A$874,"24/12/2025",'AT. MEDICAS 2024'!$I$9:$I$874,B300)</f>
        <v>0</v>
      </c>
      <c r="AA300" s="30">
        <f>COUNTIFS('AT. MEDICAS 2024'!$A$9:$A$874,"25/12/2025",'AT. MEDICAS 2024'!$I$9:$I$874,B300)</f>
        <v>0</v>
      </c>
      <c r="AB300" s="30">
        <f>COUNTIFS('AT. MEDICAS 2024'!$A$9:$A$874,"26/12/2025",'AT. MEDICAS 2024'!$I$9:$I$874,B300)</f>
        <v>0</v>
      </c>
      <c r="AC300" s="30">
        <f>COUNTIFS('AT. MEDICAS 2024'!$A$9:$A$874,"27/12/2025",'AT. MEDICAS 2024'!$I$9:$I$874,B300)</f>
        <v>0</v>
      </c>
      <c r="AD300" s="30">
        <f>COUNTIFS('AT. MEDICAS 2024'!$A$9:$A$874,"28/12/2025",'AT. MEDICAS 2024'!$I$9:$I$874,B300)</f>
        <v>0</v>
      </c>
      <c r="AE300" s="30">
        <f>COUNTIFS('AT. MEDICAS 2024'!$A$9:$A$874,"29/12/2025",'AT. MEDICAS 2024'!$I$9:$I$874,B300)</f>
        <v>0</v>
      </c>
      <c r="AF300" s="30">
        <f>COUNTIFS('AT. MEDICAS 2024'!$A$9:$A$874,"30/12/2025",'AT. MEDICAS 2024'!$I$9:$I$874,B300)</f>
        <v>0</v>
      </c>
      <c r="AG300" s="30">
        <f>COUNTIFS('AT. MEDICAS 2024'!$A$9:$A$874,"31/12/2025",'AT. MEDICAS 2024'!$I$9:$I$874,B300)</f>
        <v>0</v>
      </c>
      <c r="AH300" s="55">
        <f t="shared" si="33"/>
        <v>0</v>
      </c>
    </row>
    <row r="301" spans="1:34" ht="13.8" thickBot="1" x14ac:dyDescent="0.3">
      <c r="A301" s="41">
        <v>16</v>
      </c>
      <c r="B301" s="54" t="s">
        <v>14</v>
      </c>
      <c r="C301" s="30">
        <f>COUNTIFS('AT. MEDICAS 2024'!$A$9:$A$874,"01/12/2025",'AT. MEDICAS 2024'!$I$9:$I$874,B301)</f>
        <v>0</v>
      </c>
      <c r="D301" s="30">
        <f>COUNTIFS('AT. MEDICAS 2024'!$A$9:$A$874,"02/12/2025",'AT. MEDICAS 2024'!$I$9:$I$874,B301)</f>
        <v>0</v>
      </c>
      <c r="E301" s="30">
        <f>COUNTIFS('AT. MEDICAS 2024'!$A$9:$A$874,"03/12/2025",'AT. MEDICAS 2024'!$I$9:$I$874,B301)</f>
        <v>0</v>
      </c>
      <c r="F301" s="30">
        <f>COUNTIFS('AT. MEDICAS 2024'!$A$9:$A$874,"04/12/2025",'AT. MEDICAS 2024'!$I$9:$I$874,B301)</f>
        <v>0</v>
      </c>
      <c r="G301" s="30">
        <f>COUNTIFS('AT. MEDICAS 2024'!$A$9:$A$874,"05/12/2025",'AT. MEDICAS 2024'!$I$9:$I$874,B301)</f>
        <v>0</v>
      </c>
      <c r="H301" s="30">
        <f>COUNTIFS('AT. MEDICAS 2024'!$A$9:$A$874,"06/12/2025",'AT. MEDICAS 2024'!$I$9:$I$874,B301)</f>
        <v>0</v>
      </c>
      <c r="I301" s="30">
        <f>COUNTIFS('AT. MEDICAS 2024'!$A$9:$A$874,"07/12/2025",'AT. MEDICAS 2024'!$I$9:$I$874,B301)</f>
        <v>0</v>
      </c>
      <c r="J301" s="30">
        <f>COUNTIFS('AT. MEDICAS 2024'!$A$9:$A$874,"08/12/2025",'AT. MEDICAS 2024'!$I$9:$I$874,B301)</f>
        <v>0</v>
      </c>
      <c r="K301" s="30">
        <f>COUNTIFS('AT. MEDICAS 2024'!$A$9:$A$874,"09/12/2025",'AT. MEDICAS 2024'!$I$9:$I$874,B301)</f>
        <v>0</v>
      </c>
      <c r="L301" s="30">
        <f>COUNTIFS('AT. MEDICAS 2024'!$A$9:$A$874,"10/12/2025",'AT. MEDICAS 2024'!$I$9:$I$874,B301)</f>
        <v>0</v>
      </c>
      <c r="M301" s="30">
        <f>COUNTIFS('AT. MEDICAS 2024'!$A$9:$A$874,"11/12/2025",'AT. MEDICAS 2024'!$I$9:$I$874,B301)</f>
        <v>0</v>
      </c>
      <c r="N301" s="30">
        <f>COUNTIFS('AT. MEDICAS 2024'!$A$9:$A$874,"12/12/2025",'AT. MEDICAS 2024'!$I$9:$I$874,B301)</f>
        <v>0</v>
      </c>
      <c r="O301" s="30">
        <f>COUNTIFS('AT. MEDICAS 2024'!$A$9:$A$874,"13/12/2025",'AT. MEDICAS 2024'!$I$9:$I$874,B301)</f>
        <v>0</v>
      </c>
      <c r="P301" s="30">
        <f>COUNTIFS('AT. MEDICAS 2024'!$A$9:$A$874,"14/12/2025",'AT. MEDICAS 2024'!$I$9:$I$874,B301)</f>
        <v>0</v>
      </c>
      <c r="Q301" s="30">
        <f>COUNTIFS('AT. MEDICAS 2024'!$A$9:$A$874,"15/12/2025",'AT. MEDICAS 2024'!$I$9:$I$874,B301)</f>
        <v>0</v>
      </c>
      <c r="R301" s="30">
        <f>COUNTIFS('AT. MEDICAS 2024'!$A$9:$A$874,"16/12/2025",'AT. MEDICAS 2024'!$I$9:$I$874,B301)</f>
        <v>0</v>
      </c>
      <c r="S301" s="30">
        <f>COUNTIFS('AT. MEDICAS 2024'!$A$9:$A$874,"17/12/2025",'AT. MEDICAS 2024'!$I$9:$I$874,B301)</f>
        <v>0</v>
      </c>
      <c r="T301" s="30">
        <f>COUNTIFS('AT. MEDICAS 2024'!$A$9:$A$874,"18/12/2025",'AT. MEDICAS 2024'!$I$9:$I$874,B301)</f>
        <v>0</v>
      </c>
      <c r="U301" s="30">
        <f>COUNTIFS('AT. MEDICAS 2024'!$A$9:$A$874,"19/12/2025",'AT. MEDICAS 2024'!$I$9:$I$874,B301)</f>
        <v>0</v>
      </c>
      <c r="V301" s="30">
        <f>COUNTIFS('AT. MEDICAS 2024'!$A$9:$A$874,"20/12/2025",'AT. MEDICAS 2024'!$I$9:$I$874,B301)</f>
        <v>0</v>
      </c>
      <c r="W301" s="30">
        <f>COUNTIFS('AT. MEDICAS 2024'!$A$9:$A$874,"21/12/2025",'AT. MEDICAS 2024'!$I$9:$I$874,B301)</f>
        <v>0</v>
      </c>
      <c r="X301" s="30">
        <f>COUNTIFS('AT. MEDICAS 2024'!$A$9:$A$874,"22/12/2025",'AT. MEDICAS 2024'!$I$9:$I$874,B301)</f>
        <v>0</v>
      </c>
      <c r="Y301" s="30">
        <f>COUNTIFS('AT. MEDICAS 2024'!$A$9:$A$874,"23/12/2025",'AT. MEDICAS 2024'!$I$9:$I$874,B301)</f>
        <v>0</v>
      </c>
      <c r="Z301" s="30">
        <f>COUNTIFS('AT. MEDICAS 2024'!$A$9:$A$874,"24/12/2025",'AT. MEDICAS 2024'!$I$9:$I$874,B301)</f>
        <v>0</v>
      </c>
      <c r="AA301" s="30">
        <f>COUNTIFS('AT. MEDICAS 2024'!$A$9:$A$874,"25/12/2025",'AT. MEDICAS 2024'!$I$9:$I$874,B301)</f>
        <v>0</v>
      </c>
      <c r="AB301" s="30">
        <f>COUNTIFS('AT. MEDICAS 2024'!$A$9:$A$874,"26/12/2025",'AT. MEDICAS 2024'!$I$9:$I$874,B301)</f>
        <v>0</v>
      </c>
      <c r="AC301" s="30">
        <f>COUNTIFS('AT. MEDICAS 2024'!$A$9:$A$874,"27/12/2025",'AT. MEDICAS 2024'!$I$9:$I$874,B301)</f>
        <v>0</v>
      </c>
      <c r="AD301" s="30">
        <f>COUNTIFS('AT. MEDICAS 2024'!$A$9:$A$874,"28/12/2025",'AT. MEDICAS 2024'!$I$9:$I$874,B301)</f>
        <v>0</v>
      </c>
      <c r="AE301" s="30">
        <f>COUNTIFS('AT. MEDICAS 2024'!$A$9:$A$874,"29/12/2025",'AT. MEDICAS 2024'!$I$9:$I$874,B301)</f>
        <v>0</v>
      </c>
      <c r="AF301" s="30">
        <f>COUNTIFS('AT. MEDICAS 2024'!$A$9:$A$874,"30/12/2025",'AT. MEDICAS 2024'!$I$9:$I$874,B301)</f>
        <v>0</v>
      </c>
      <c r="AG301" s="30">
        <f>COUNTIFS('AT. MEDICAS 2024'!$A$9:$A$874,"31/12/2025",'AT. MEDICAS 2024'!$I$9:$I$874,B301)</f>
        <v>0</v>
      </c>
      <c r="AH301" s="55">
        <f t="shared" si="33"/>
        <v>0</v>
      </c>
    </row>
    <row r="302" spans="1:34" ht="13.8" thickBot="1" x14ac:dyDescent="0.3">
      <c r="A302" s="41">
        <v>17</v>
      </c>
      <c r="B302" s="54" t="s">
        <v>72</v>
      </c>
      <c r="C302" s="30">
        <f>COUNTIFS('AT. MEDICAS 2024'!$A$9:$A$874,"01/12/2025",'AT. MEDICAS 2024'!$I$9:$I$874,B302)</f>
        <v>0</v>
      </c>
      <c r="D302" s="30">
        <f>COUNTIFS('AT. MEDICAS 2024'!$A$9:$A$874,"02/12/2025",'AT. MEDICAS 2024'!$I$9:$I$874,B302)</f>
        <v>0</v>
      </c>
      <c r="E302" s="30">
        <f>COUNTIFS('AT. MEDICAS 2024'!$A$9:$A$874,"03/12/2025",'AT. MEDICAS 2024'!$I$9:$I$874,B302)</f>
        <v>0</v>
      </c>
      <c r="F302" s="30">
        <f>COUNTIFS('AT. MEDICAS 2024'!$A$9:$A$874,"04/12/2025",'AT. MEDICAS 2024'!$I$9:$I$874,B302)</f>
        <v>0</v>
      </c>
      <c r="G302" s="30">
        <f>COUNTIFS('AT. MEDICAS 2024'!$A$9:$A$874,"05/12/2025",'AT. MEDICAS 2024'!$I$9:$I$874,B302)</f>
        <v>0</v>
      </c>
      <c r="H302" s="30">
        <f>COUNTIFS('AT. MEDICAS 2024'!$A$9:$A$874,"06/12/2025",'AT. MEDICAS 2024'!$I$9:$I$874,B302)</f>
        <v>0</v>
      </c>
      <c r="I302" s="30">
        <f>COUNTIFS('AT. MEDICAS 2024'!$A$9:$A$874,"07/12/2025",'AT. MEDICAS 2024'!$I$9:$I$874,B302)</f>
        <v>0</v>
      </c>
      <c r="J302" s="30">
        <f>COUNTIFS('AT. MEDICAS 2024'!$A$9:$A$874,"08/12/2025",'AT. MEDICAS 2024'!$I$9:$I$874,B302)</f>
        <v>0</v>
      </c>
      <c r="K302" s="30">
        <f>COUNTIFS('AT. MEDICAS 2024'!$A$9:$A$874,"09/12/2025",'AT. MEDICAS 2024'!$I$9:$I$874,B302)</f>
        <v>0</v>
      </c>
      <c r="L302" s="30">
        <f>COUNTIFS('AT. MEDICAS 2024'!$A$9:$A$874,"10/12/2025",'AT. MEDICAS 2024'!$I$9:$I$874,B302)</f>
        <v>0</v>
      </c>
      <c r="M302" s="30">
        <f>COUNTIFS('AT. MEDICAS 2024'!$A$9:$A$874,"11/12/2025",'AT. MEDICAS 2024'!$I$9:$I$874,B302)</f>
        <v>0</v>
      </c>
      <c r="N302" s="30">
        <f>COUNTIFS('AT. MEDICAS 2024'!$A$9:$A$874,"12/12/2025",'AT. MEDICAS 2024'!$I$9:$I$874,B302)</f>
        <v>0</v>
      </c>
      <c r="O302" s="30">
        <f>COUNTIFS('AT. MEDICAS 2024'!$A$9:$A$874,"13/12/2025",'AT. MEDICAS 2024'!$I$9:$I$874,B302)</f>
        <v>0</v>
      </c>
      <c r="P302" s="30">
        <f>COUNTIFS('AT. MEDICAS 2024'!$A$9:$A$874,"14/12/2025",'AT. MEDICAS 2024'!$I$9:$I$874,B302)</f>
        <v>0</v>
      </c>
      <c r="Q302" s="30">
        <f>COUNTIFS('AT. MEDICAS 2024'!$A$9:$A$874,"15/12/2025",'AT. MEDICAS 2024'!$I$9:$I$874,B302)</f>
        <v>0</v>
      </c>
      <c r="R302" s="30">
        <f>COUNTIFS('AT. MEDICAS 2024'!$A$9:$A$874,"16/12/2025",'AT. MEDICAS 2024'!$I$9:$I$874,B302)</f>
        <v>0</v>
      </c>
      <c r="S302" s="30">
        <f>COUNTIFS('AT. MEDICAS 2024'!$A$9:$A$874,"17/12/2025",'AT. MEDICAS 2024'!$I$9:$I$874,B302)</f>
        <v>0</v>
      </c>
      <c r="T302" s="30">
        <f>COUNTIFS('AT. MEDICAS 2024'!$A$9:$A$874,"18/12/2025",'AT. MEDICAS 2024'!$I$9:$I$874,B302)</f>
        <v>0</v>
      </c>
      <c r="U302" s="30">
        <f>COUNTIFS('AT. MEDICAS 2024'!$A$9:$A$874,"19/12/2025",'AT. MEDICAS 2024'!$I$9:$I$874,B302)</f>
        <v>0</v>
      </c>
      <c r="V302" s="30">
        <f>COUNTIFS('AT. MEDICAS 2024'!$A$9:$A$874,"20/12/2025",'AT. MEDICAS 2024'!$I$9:$I$874,B302)</f>
        <v>0</v>
      </c>
      <c r="W302" s="30">
        <f>COUNTIFS('AT. MEDICAS 2024'!$A$9:$A$874,"21/12/2025",'AT. MEDICAS 2024'!$I$9:$I$874,B302)</f>
        <v>0</v>
      </c>
      <c r="X302" s="30">
        <f>COUNTIFS('AT. MEDICAS 2024'!$A$9:$A$874,"22/12/2025",'AT. MEDICAS 2024'!$I$9:$I$874,B302)</f>
        <v>0</v>
      </c>
      <c r="Y302" s="30">
        <f>COUNTIFS('AT. MEDICAS 2024'!$A$9:$A$874,"23/12/2025",'AT. MEDICAS 2024'!$I$9:$I$874,B302)</f>
        <v>0</v>
      </c>
      <c r="Z302" s="30">
        <f>COUNTIFS('AT. MEDICAS 2024'!$A$9:$A$874,"24/12/2025",'AT. MEDICAS 2024'!$I$9:$I$874,B302)</f>
        <v>0</v>
      </c>
      <c r="AA302" s="30">
        <f>COUNTIFS('AT. MEDICAS 2024'!$A$9:$A$874,"25/12/2025",'AT. MEDICAS 2024'!$I$9:$I$874,B302)</f>
        <v>0</v>
      </c>
      <c r="AB302" s="30">
        <f>COUNTIFS('AT. MEDICAS 2024'!$A$9:$A$874,"26/12/2025",'AT. MEDICAS 2024'!$I$9:$I$874,B302)</f>
        <v>0</v>
      </c>
      <c r="AC302" s="30">
        <f>COUNTIFS('AT. MEDICAS 2024'!$A$9:$A$874,"27/12/2025",'AT. MEDICAS 2024'!$I$9:$I$874,B302)</f>
        <v>0</v>
      </c>
      <c r="AD302" s="30">
        <f>COUNTIFS('AT. MEDICAS 2024'!$A$9:$A$874,"28/12/2025",'AT. MEDICAS 2024'!$I$9:$I$874,B302)</f>
        <v>0</v>
      </c>
      <c r="AE302" s="30">
        <f>COUNTIFS('AT. MEDICAS 2024'!$A$9:$A$874,"29/12/2025",'AT. MEDICAS 2024'!$I$9:$I$874,B302)</f>
        <v>0</v>
      </c>
      <c r="AF302" s="30">
        <f>COUNTIFS('AT. MEDICAS 2024'!$A$9:$A$874,"30/12/2025",'AT. MEDICAS 2024'!$I$9:$I$874,B302)</f>
        <v>0</v>
      </c>
      <c r="AG302" s="30">
        <f>COUNTIFS('AT. MEDICAS 2024'!$A$9:$A$874,"31/12/2025",'AT. MEDICAS 2024'!$I$9:$I$874,B302)</f>
        <v>0</v>
      </c>
      <c r="AH302" s="55">
        <f t="shared" si="33"/>
        <v>0</v>
      </c>
    </row>
    <row r="303" spans="1:34" ht="13.8" thickBot="1" x14ac:dyDescent="0.3">
      <c r="A303" s="41">
        <v>18</v>
      </c>
      <c r="B303" s="54" t="s">
        <v>190</v>
      </c>
      <c r="C303" s="30">
        <f>COUNTIFS('AT. MEDICAS 2024'!$A$9:$A$874,"01/12/2025",'AT. MEDICAS 2024'!$I$9:$I$874,B303)</f>
        <v>0</v>
      </c>
      <c r="D303" s="30">
        <f>COUNTIFS('AT. MEDICAS 2024'!$A$9:$A$874,"02/12/2025",'AT. MEDICAS 2024'!$I$9:$I$874,B303)</f>
        <v>0</v>
      </c>
      <c r="E303" s="30">
        <f>COUNTIFS('AT. MEDICAS 2024'!$A$9:$A$874,"03/12/2025",'AT. MEDICAS 2024'!$I$9:$I$874,B303)</f>
        <v>0</v>
      </c>
      <c r="F303" s="30">
        <f>COUNTIFS('AT. MEDICAS 2024'!$A$9:$A$874,"04/12/2025",'AT. MEDICAS 2024'!$I$9:$I$874,B303)</f>
        <v>0</v>
      </c>
      <c r="G303" s="30">
        <f>COUNTIFS('AT. MEDICAS 2024'!$A$9:$A$874,"05/12/2025",'AT. MEDICAS 2024'!$I$9:$I$874,B303)</f>
        <v>0</v>
      </c>
      <c r="H303" s="30">
        <f>COUNTIFS('AT. MEDICAS 2024'!$A$9:$A$874,"06/12/2025",'AT. MEDICAS 2024'!$I$9:$I$874,B303)</f>
        <v>0</v>
      </c>
      <c r="I303" s="30">
        <f>COUNTIFS('AT. MEDICAS 2024'!$A$9:$A$874,"07/12/2025",'AT. MEDICAS 2024'!$I$9:$I$874,B303)</f>
        <v>0</v>
      </c>
      <c r="J303" s="30">
        <f>COUNTIFS('AT. MEDICAS 2024'!$A$9:$A$874,"08/12/2025",'AT. MEDICAS 2024'!$I$9:$I$874,B303)</f>
        <v>0</v>
      </c>
      <c r="K303" s="30">
        <f>COUNTIFS('AT. MEDICAS 2024'!$A$9:$A$874,"09/12/2025",'AT. MEDICAS 2024'!$I$9:$I$874,B303)</f>
        <v>0</v>
      </c>
      <c r="L303" s="30">
        <f>COUNTIFS('AT. MEDICAS 2024'!$A$9:$A$874,"10/12/2025",'AT. MEDICAS 2024'!$I$9:$I$874,B303)</f>
        <v>0</v>
      </c>
      <c r="M303" s="30">
        <f>COUNTIFS('AT. MEDICAS 2024'!$A$9:$A$874,"11/12/2025",'AT. MEDICAS 2024'!$I$9:$I$874,B303)</f>
        <v>0</v>
      </c>
      <c r="N303" s="30">
        <f>COUNTIFS('AT. MEDICAS 2024'!$A$9:$A$874,"12/12/2025",'AT. MEDICAS 2024'!$I$9:$I$874,B303)</f>
        <v>0</v>
      </c>
      <c r="O303" s="30">
        <f>COUNTIFS('AT. MEDICAS 2024'!$A$9:$A$874,"13/12/2025",'AT. MEDICAS 2024'!$I$9:$I$874,B303)</f>
        <v>0</v>
      </c>
      <c r="P303" s="30">
        <f>COUNTIFS('AT. MEDICAS 2024'!$A$9:$A$874,"14/12/2025",'AT. MEDICAS 2024'!$I$9:$I$874,B303)</f>
        <v>0</v>
      </c>
      <c r="Q303" s="30">
        <f>COUNTIFS('AT. MEDICAS 2024'!$A$9:$A$874,"15/12/2025",'AT. MEDICAS 2024'!$I$9:$I$874,B303)</f>
        <v>0</v>
      </c>
      <c r="R303" s="30">
        <f>COUNTIFS('AT. MEDICAS 2024'!$A$9:$A$874,"16/12/2025",'AT. MEDICAS 2024'!$I$9:$I$874,B303)</f>
        <v>0</v>
      </c>
      <c r="S303" s="30">
        <f>COUNTIFS('AT. MEDICAS 2024'!$A$9:$A$874,"17/12/2025",'AT. MEDICAS 2024'!$I$9:$I$874,B303)</f>
        <v>0</v>
      </c>
      <c r="T303" s="30">
        <f>COUNTIFS('AT. MEDICAS 2024'!$A$9:$A$874,"18/12/2025",'AT. MEDICAS 2024'!$I$9:$I$874,B303)</f>
        <v>0</v>
      </c>
      <c r="U303" s="30">
        <f>COUNTIFS('AT. MEDICAS 2024'!$A$9:$A$874,"19/12/2025",'AT. MEDICAS 2024'!$I$9:$I$874,B303)</f>
        <v>0</v>
      </c>
      <c r="V303" s="30">
        <f>COUNTIFS('AT. MEDICAS 2024'!$A$9:$A$874,"20/12/2025",'AT. MEDICAS 2024'!$I$9:$I$874,B303)</f>
        <v>0</v>
      </c>
      <c r="W303" s="30">
        <f>COUNTIFS('AT. MEDICAS 2024'!$A$9:$A$874,"21/12/2025",'AT. MEDICAS 2024'!$I$9:$I$874,B303)</f>
        <v>0</v>
      </c>
      <c r="X303" s="30">
        <f>COUNTIFS('AT. MEDICAS 2024'!$A$9:$A$874,"22/12/2025",'AT. MEDICAS 2024'!$I$9:$I$874,B303)</f>
        <v>0</v>
      </c>
      <c r="Y303" s="30">
        <f>COUNTIFS('AT. MEDICAS 2024'!$A$9:$A$874,"23/12/2025",'AT. MEDICAS 2024'!$I$9:$I$874,B303)</f>
        <v>0</v>
      </c>
      <c r="Z303" s="30">
        <f>COUNTIFS('AT. MEDICAS 2024'!$A$9:$A$874,"24/12/2025",'AT. MEDICAS 2024'!$I$9:$I$874,B303)</f>
        <v>0</v>
      </c>
      <c r="AA303" s="30">
        <f>COUNTIFS('AT. MEDICAS 2024'!$A$9:$A$874,"25/12/2025",'AT. MEDICAS 2024'!$I$9:$I$874,B303)</f>
        <v>0</v>
      </c>
      <c r="AB303" s="30">
        <f>COUNTIFS('AT. MEDICAS 2024'!$A$9:$A$874,"26/12/2025",'AT. MEDICAS 2024'!$I$9:$I$874,B303)</f>
        <v>0</v>
      </c>
      <c r="AC303" s="30">
        <f>COUNTIFS('AT. MEDICAS 2024'!$A$9:$A$874,"27/12/2025",'AT. MEDICAS 2024'!$I$9:$I$874,B303)</f>
        <v>0</v>
      </c>
      <c r="AD303" s="30">
        <f>COUNTIFS('AT. MEDICAS 2024'!$A$9:$A$874,"28/12/2025",'AT. MEDICAS 2024'!$I$9:$I$874,B303)</f>
        <v>0</v>
      </c>
      <c r="AE303" s="30">
        <f>COUNTIFS('AT. MEDICAS 2024'!$A$9:$A$874,"29/12/2025",'AT. MEDICAS 2024'!$I$9:$I$874,B303)</f>
        <v>0</v>
      </c>
      <c r="AF303" s="30">
        <f>COUNTIFS('AT. MEDICAS 2024'!$A$9:$A$874,"30/12/2025",'AT. MEDICAS 2024'!$I$9:$I$874,B303)</f>
        <v>0</v>
      </c>
      <c r="AG303" s="30">
        <f>COUNTIFS('AT. MEDICAS 2024'!$A$9:$A$874,"31/12/2025",'AT. MEDICAS 2024'!$I$9:$I$874,B303)</f>
        <v>0</v>
      </c>
      <c r="AH303" s="55">
        <f t="shared" si="33"/>
        <v>0</v>
      </c>
    </row>
    <row r="304" spans="1:34" ht="13.8" thickBot="1" x14ac:dyDescent="0.3">
      <c r="A304" s="41">
        <v>19</v>
      </c>
      <c r="B304" s="54" t="s">
        <v>118</v>
      </c>
      <c r="C304" s="30">
        <f>COUNTIFS('AT. MEDICAS 2024'!$A$9:$A$874,"01/12/2025",'AT. MEDICAS 2024'!$I$9:$I$874,B304)</f>
        <v>0</v>
      </c>
      <c r="D304" s="30">
        <f>COUNTIFS('AT. MEDICAS 2024'!$A$9:$A$874,"02/12/2025",'AT. MEDICAS 2024'!$I$9:$I$874,B304)</f>
        <v>0</v>
      </c>
      <c r="E304" s="30">
        <f>COUNTIFS('AT. MEDICAS 2024'!$A$9:$A$874,"03/12/2025",'AT. MEDICAS 2024'!$I$9:$I$874,B304)</f>
        <v>0</v>
      </c>
      <c r="F304" s="30">
        <f>COUNTIFS('AT. MEDICAS 2024'!$A$9:$A$874,"04/12/2025",'AT. MEDICAS 2024'!$I$9:$I$874,B304)</f>
        <v>0</v>
      </c>
      <c r="G304" s="30">
        <f>COUNTIFS('AT. MEDICAS 2024'!$A$9:$A$874,"05/12/2025",'AT. MEDICAS 2024'!$I$9:$I$874,B304)</f>
        <v>0</v>
      </c>
      <c r="H304" s="30">
        <f>COUNTIFS('AT. MEDICAS 2024'!$A$9:$A$874,"06/12/2025",'AT. MEDICAS 2024'!$I$9:$I$874,B304)</f>
        <v>0</v>
      </c>
      <c r="I304" s="30">
        <f>COUNTIFS('AT. MEDICAS 2024'!$A$9:$A$874,"07/12/2025",'AT. MEDICAS 2024'!$I$9:$I$874,B304)</f>
        <v>0</v>
      </c>
      <c r="J304" s="30">
        <f>COUNTIFS('AT. MEDICAS 2024'!$A$9:$A$874,"08/12/2025",'AT. MEDICAS 2024'!$I$9:$I$874,B304)</f>
        <v>0</v>
      </c>
      <c r="K304" s="30">
        <f>COUNTIFS('AT. MEDICAS 2024'!$A$9:$A$874,"09/12/2025",'AT. MEDICAS 2024'!$I$9:$I$874,B304)</f>
        <v>0</v>
      </c>
      <c r="L304" s="30">
        <f>COUNTIFS('AT. MEDICAS 2024'!$A$9:$A$874,"10/12/2025",'AT. MEDICAS 2024'!$I$9:$I$874,B304)</f>
        <v>0</v>
      </c>
      <c r="M304" s="30">
        <f>COUNTIFS('AT. MEDICAS 2024'!$A$9:$A$874,"11/12/2025",'AT. MEDICAS 2024'!$I$9:$I$874,B304)</f>
        <v>0</v>
      </c>
      <c r="N304" s="30">
        <f>COUNTIFS('AT. MEDICAS 2024'!$A$9:$A$874,"12/12/2025",'AT. MEDICAS 2024'!$I$9:$I$874,B304)</f>
        <v>0</v>
      </c>
      <c r="O304" s="30">
        <f>COUNTIFS('AT. MEDICAS 2024'!$A$9:$A$874,"13/12/2025",'AT. MEDICAS 2024'!$I$9:$I$874,B304)</f>
        <v>0</v>
      </c>
      <c r="P304" s="30">
        <f>COUNTIFS('AT. MEDICAS 2024'!$A$9:$A$874,"14/12/2025",'AT. MEDICAS 2024'!$I$9:$I$874,B304)</f>
        <v>0</v>
      </c>
      <c r="Q304" s="30">
        <f>COUNTIFS('AT. MEDICAS 2024'!$A$9:$A$874,"15/12/2025",'AT. MEDICAS 2024'!$I$9:$I$874,B304)</f>
        <v>0</v>
      </c>
      <c r="R304" s="30">
        <f>COUNTIFS('AT. MEDICAS 2024'!$A$9:$A$874,"16/12/2025",'AT. MEDICAS 2024'!$I$9:$I$874,B304)</f>
        <v>0</v>
      </c>
      <c r="S304" s="30">
        <f>COUNTIFS('AT. MEDICAS 2024'!$A$9:$A$874,"17/12/2025",'AT. MEDICAS 2024'!$I$9:$I$874,B304)</f>
        <v>0</v>
      </c>
      <c r="T304" s="30">
        <f>COUNTIFS('AT. MEDICAS 2024'!$A$9:$A$874,"18/12/2025",'AT. MEDICAS 2024'!$I$9:$I$874,B304)</f>
        <v>0</v>
      </c>
      <c r="U304" s="30">
        <f>COUNTIFS('AT. MEDICAS 2024'!$A$9:$A$874,"19/12/2025",'AT. MEDICAS 2024'!$I$9:$I$874,B304)</f>
        <v>0</v>
      </c>
      <c r="V304" s="30">
        <f>COUNTIFS('AT. MEDICAS 2024'!$A$9:$A$874,"20/12/2025",'AT. MEDICAS 2024'!$I$9:$I$874,B304)</f>
        <v>0</v>
      </c>
      <c r="W304" s="30">
        <f>COUNTIFS('AT. MEDICAS 2024'!$A$9:$A$874,"21/12/2025",'AT. MEDICAS 2024'!$I$9:$I$874,B304)</f>
        <v>0</v>
      </c>
      <c r="X304" s="30">
        <f>COUNTIFS('AT. MEDICAS 2024'!$A$9:$A$874,"22/12/2025",'AT. MEDICAS 2024'!$I$9:$I$874,B304)</f>
        <v>0</v>
      </c>
      <c r="Y304" s="30">
        <f>COUNTIFS('AT. MEDICAS 2024'!$A$9:$A$874,"23/12/2025",'AT. MEDICAS 2024'!$I$9:$I$874,B304)</f>
        <v>0</v>
      </c>
      <c r="Z304" s="30">
        <f>COUNTIFS('AT. MEDICAS 2024'!$A$9:$A$874,"24/12/2025",'AT. MEDICAS 2024'!$I$9:$I$874,B304)</f>
        <v>0</v>
      </c>
      <c r="AA304" s="30">
        <f>COUNTIFS('AT. MEDICAS 2024'!$A$9:$A$874,"25/12/2025",'AT. MEDICAS 2024'!$I$9:$I$874,B304)</f>
        <v>0</v>
      </c>
      <c r="AB304" s="30">
        <f>COUNTIFS('AT. MEDICAS 2024'!$A$9:$A$874,"26/12/2025",'AT. MEDICAS 2024'!$I$9:$I$874,B304)</f>
        <v>0</v>
      </c>
      <c r="AC304" s="30">
        <f>COUNTIFS('AT. MEDICAS 2024'!$A$9:$A$874,"27/12/2025",'AT. MEDICAS 2024'!$I$9:$I$874,B304)</f>
        <v>0</v>
      </c>
      <c r="AD304" s="30">
        <f>COUNTIFS('AT. MEDICAS 2024'!$A$9:$A$874,"28/12/2025",'AT. MEDICAS 2024'!$I$9:$I$874,B304)</f>
        <v>0</v>
      </c>
      <c r="AE304" s="30">
        <f>COUNTIFS('AT. MEDICAS 2024'!$A$9:$A$874,"29/12/2025",'AT. MEDICAS 2024'!$I$9:$I$874,B304)</f>
        <v>0</v>
      </c>
      <c r="AF304" s="30">
        <f>COUNTIFS('AT. MEDICAS 2024'!$A$9:$A$874,"30/12/2025",'AT. MEDICAS 2024'!$I$9:$I$874,B304)</f>
        <v>0</v>
      </c>
      <c r="AG304" s="30">
        <f>COUNTIFS('AT. MEDICAS 2024'!$A$9:$A$874,"31/12/2025",'AT. MEDICAS 2024'!$I$9:$I$874,B304)</f>
        <v>0</v>
      </c>
      <c r="AH304" s="55">
        <f t="shared" si="33"/>
        <v>0</v>
      </c>
    </row>
    <row r="305" spans="1:34" ht="13.8" thickBot="1" x14ac:dyDescent="0.3">
      <c r="A305" s="41">
        <v>20</v>
      </c>
      <c r="B305" s="54" t="s">
        <v>31</v>
      </c>
      <c r="C305" s="30">
        <f>COUNTIFS('AT. MEDICAS 2024'!$A$9:$A$874,"01/12/2025",'AT. MEDICAS 2024'!$I$9:$I$874,B305)</f>
        <v>0</v>
      </c>
      <c r="D305" s="30">
        <f>COUNTIFS('AT. MEDICAS 2024'!$A$9:$A$874,"02/12/2025",'AT. MEDICAS 2024'!$I$9:$I$874,B305)</f>
        <v>0</v>
      </c>
      <c r="E305" s="30">
        <f>COUNTIFS('AT. MEDICAS 2024'!$A$9:$A$874,"03/12/2025",'AT. MEDICAS 2024'!$I$9:$I$874,B305)</f>
        <v>0</v>
      </c>
      <c r="F305" s="30">
        <f>COUNTIFS('AT. MEDICAS 2024'!$A$9:$A$874,"04/12/2025",'AT. MEDICAS 2024'!$I$9:$I$874,B305)</f>
        <v>0</v>
      </c>
      <c r="G305" s="30">
        <f>COUNTIFS('AT. MEDICAS 2024'!$A$9:$A$874,"05/12/2025",'AT. MEDICAS 2024'!$I$9:$I$874,B305)</f>
        <v>0</v>
      </c>
      <c r="H305" s="30">
        <f>COUNTIFS('AT. MEDICAS 2024'!$A$9:$A$874,"06/12/2025",'AT. MEDICAS 2024'!$I$9:$I$874,B305)</f>
        <v>0</v>
      </c>
      <c r="I305" s="30">
        <f>COUNTIFS('AT. MEDICAS 2024'!$A$9:$A$874,"07/12/2025",'AT. MEDICAS 2024'!$I$9:$I$874,B305)</f>
        <v>0</v>
      </c>
      <c r="J305" s="30">
        <f>COUNTIFS('AT. MEDICAS 2024'!$A$9:$A$874,"08/12/2025",'AT. MEDICAS 2024'!$I$9:$I$874,B305)</f>
        <v>0</v>
      </c>
      <c r="K305" s="30">
        <f>COUNTIFS('AT. MEDICAS 2024'!$A$9:$A$874,"09/12/2025",'AT. MEDICAS 2024'!$I$9:$I$874,B305)</f>
        <v>0</v>
      </c>
      <c r="L305" s="30">
        <f>COUNTIFS('AT. MEDICAS 2024'!$A$9:$A$874,"10/12/2025",'AT. MEDICAS 2024'!$I$9:$I$874,B305)</f>
        <v>0</v>
      </c>
      <c r="M305" s="30">
        <f>COUNTIFS('AT. MEDICAS 2024'!$A$9:$A$874,"11/12/2025",'AT. MEDICAS 2024'!$I$9:$I$874,B305)</f>
        <v>0</v>
      </c>
      <c r="N305" s="30">
        <f>COUNTIFS('AT. MEDICAS 2024'!$A$9:$A$874,"12/12/2025",'AT. MEDICAS 2024'!$I$9:$I$874,B305)</f>
        <v>0</v>
      </c>
      <c r="O305" s="30">
        <f>COUNTIFS('AT. MEDICAS 2024'!$A$9:$A$874,"13/12/2025",'AT. MEDICAS 2024'!$I$9:$I$874,B305)</f>
        <v>0</v>
      </c>
      <c r="P305" s="30">
        <f>COUNTIFS('AT. MEDICAS 2024'!$A$9:$A$874,"14/12/2025",'AT. MEDICAS 2024'!$I$9:$I$874,B305)</f>
        <v>0</v>
      </c>
      <c r="Q305" s="30">
        <f>COUNTIFS('AT. MEDICAS 2024'!$A$9:$A$874,"15/12/2025",'AT. MEDICAS 2024'!$I$9:$I$874,B305)</f>
        <v>0</v>
      </c>
      <c r="R305" s="30">
        <f>COUNTIFS('AT. MEDICAS 2024'!$A$9:$A$874,"16/12/2025",'AT. MEDICAS 2024'!$I$9:$I$874,B305)</f>
        <v>0</v>
      </c>
      <c r="S305" s="30">
        <f>COUNTIFS('AT. MEDICAS 2024'!$A$9:$A$874,"17/12/2025",'AT. MEDICAS 2024'!$I$9:$I$874,B305)</f>
        <v>0</v>
      </c>
      <c r="T305" s="30">
        <f>COUNTIFS('AT. MEDICAS 2024'!$A$9:$A$874,"18/12/2025",'AT. MEDICAS 2024'!$I$9:$I$874,B305)</f>
        <v>0</v>
      </c>
      <c r="U305" s="30">
        <f>COUNTIFS('AT. MEDICAS 2024'!$A$9:$A$874,"19/12/2025",'AT. MEDICAS 2024'!$I$9:$I$874,B305)</f>
        <v>0</v>
      </c>
      <c r="V305" s="30">
        <f>COUNTIFS('AT. MEDICAS 2024'!$A$9:$A$874,"20/12/2025",'AT. MEDICAS 2024'!$I$9:$I$874,B305)</f>
        <v>0</v>
      </c>
      <c r="W305" s="30">
        <f>COUNTIFS('AT. MEDICAS 2024'!$A$9:$A$874,"21/12/2025",'AT. MEDICAS 2024'!$I$9:$I$874,B305)</f>
        <v>0</v>
      </c>
      <c r="X305" s="30">
        <f>COUNTIFS('AT. MEDICAS 2024'!$A$9:$A$874,"22/12/2025",'AT. MEDICAS 2024'!$I$9:$I$874,B305)</f>
        <v>0</v>
      </c>
      <c r="Y305" s="30">
        <f>COUNTIFS('AT. MEDICAS 2024'!$A$9:$A$874,"23/12/2025",'AT. MEDICAS 2024'!$I$9:$I$874,B305)</f>
        <v>0</v>
      </c>
      <c r="Z305" s="30">
        <f>COUNTIFS('AT. MEDICAS 2024'!$A$9:$A$874,"24/12/2025",'AT. MEDICAS 2024'!$I$9:$I$874,B305)</f>
        <v>0</v>
      </c>
      <c r="AA305" s="30">
        <f>COUNTIFS('AT. MEDICAS 2024'!$A$9:$A$874,"25/12/2025",'AT. MEDICAS 2024'!$I$9:$I$874,B305)</f>
        <v>0</v>
      </c>
      <c r="AB305" s="30">
        <f>COUNTIFS('AT. MEDICAS 2024'!$A$9:$A$874,"26/12/2025",'AT. MEDICAS 2024'!$I$9:$I$874,B305)</f>
        <v>0</v>
      </c>
      <c r="AC305" s="30">
        <f>COUNTIFS('AT. MEDICAS 2024'!$A$9:$A$874,"27/12/2025",'AT. MEDICAS 2024'!$I$9:$I$874,B305)</f>
        <v>0</v>
      </c>
      <c r="AD305" s="30">
        <f>COUNTIFS('AT. MEDICAS 2024'!$A$9:$A$874,"28/12/2025",'AT. MEDICAS 2024'!$I$9:$I$874,B305)</f>
        <v>0</v>
      </c>
      <c r="AE305" s="30">
        <f>COUNTIFS('AT. MEDICAS 2024'!$A$9:$A$874,"29/12/2025",'AT. MEDICAS 2024'!$I$9:$I$874,B305)</f>
        <v>0</v>
      </c>
      <c r="AF305" s="30">
        <f>COUNTIFS('AT. MEDICAS 2024'!$A$9:$A$874,"30/12/2025",'AT. MEDICAS 2024'!$I$9:$I$874,B305)</f>
        <v>0</v>
      </c>
      <c r="AG305" s="30">
        <f>COUNTIFS('AT. MEDICAS 2024'!$A$9:$A$874,"31/12/2025",'AT. MEDICAS 2024'!$I$9:$I$874,B305)</f>
        <v>0</v>
      </c>
      <c r="AH305" s="55">
        <f t="shared" si="33"/>
        <v>0</v>
      </c>
    </row>
    <row r="306" spans="1:34" ht="18.600000000000001" customHeight="1" thickBot="1" x14ac:dyDescent="0.3">
      <c r="A306" s="92"/>
      <c r="B306" s="93"/>
      <c r="C306" s="55">
        <f>SUM(C286:C305)</f>
        <v>0</v>
      </c>
      <c r="D306" s="55">
        <f t="shared" ref="D306:AE306" si="34">SUM(D286:D305)</f>
        <v>0</v>
      </c>
      <c r="E306" s="55">
        <f t="shared" si="34"/>
        <v>0</v>
      </c>
      <c r="F306" s="55">
        <f t="shared" si="34"/>
        <v>0</v>
      </c>
      <c r="G306" s="55">
        <f t="shared" si="34"/>
        <v>0</v>
      </c>
      <c r="H306" s="55">
        <f t="shared" si="34"/>
        <v>0</v>
      </c>
      <c r="I306" s="55">
        <f t="shared" si="34"/>
        <v>0</v>
      </c>
      <c r="J306" s="55">
        <f t="shared" si="34"/>
        <v>0</v>
      </c>
      <c r="K306" s="55">
        <f t="shared" si="34"/>
        <v>0</v>
      </c>
      <c r="L306" s="55">
        <f t="shared" si="34"/>
        <v>0</v>
      </c>
      <c r="M306" s="55">
        <f t="shared" si="34"/>
        <v>0</v>
      </c>
      <c r="N306" s="55">
        <f t="shared" si="34"/>
        <v>0</v>
      </c>
      <c r="O306" s="55">
        <f t="shared" si="34"/>
        <v>0</v>
      </c>
      <c r="P306" s="55">
        <f t="shared" si="34"/>
        <v>0</v>
      </c>
      <c r="Q306" s="55">
        <f t="shared" si="34"/>
        <v>0</v>
      </c>
      <c r="R306" s="55">
        <f t="shared" si="34"/>
        <v>0</v>
      </c>
      <c r="S306" s="55">
        <f t="shared" si="34"/>
        <v>0</v>
      </c>
      <c r="T306" s="55">
        <f t="shared" si="34"/>
        <v>0</v>
      </c>
      <c r="U306" s="55">
        <f t="shared" si="34"/>
        <v>0</v>
      </c>
      <c r="V306" s="55">
        <f t="shared" si="34"/>
        <v>0</v>
      </c>
      <c r="W306" s="55">
        <f t="shared" si="34"/>
        <v>0</v>
      </c>
      <c r="X306" s="55">
        <f t="shared" si="34"/>
        <v>0</v>
      </c>
      <c r="Y306" s="55">
        <f t="shared" si="34"/>
        <v>0</v>
      </c>
      <c r="Z306" s="55">
        <f t="shared" si="34"/>
        <v>0</v>
      </c>
      <c r="AA306" s="55">
        <f t="shared" si="34"/>
        <v>0</v>
      </c>
      <c r="AB306" s="55">
        <f t="shared" si="34"/>
        <v>0</v>
      </c>
      <c r="AC306" s="55">
        <f t="shared" si="34"/>
        <v>0</v>
      </c>
      <c r="AD306" s="55">
        <f t="shared" si="34"/>
        <v>0</v>
      </c>
      <c r="AE306" s="55">
        <f t="shared" si="34"/>
        <v>0</v>
      </c>
      <c r="AF306" s="55">
        <f>SUM(AF286:AF305)</f>
        <v>0</v>
      </c>
      <c r="AG306" s="55">
        <f>SUM(AG286:AG305)</f>
        <v>0</v>
      </c>
      <c r="AH306" s="30">
        <f>SUM(AH286:AH305)</f>
        <v>0</v>
      </c>
    </row>
    <row r="309" spans="1:34" ht="22.2" customHeight="1" x14ac:dyDescent="0.25">
      <c r="A309" s="120" t="s">
        <v>938</v>
      </c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</row>
    <row r="310" spans="1:34" x14ac:dyDescent="0.25">
      <c r="A310" s="122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4"/>
    </row>
    <row r="311" spans="1:34" x14ac:dyDescent="0.25">
      <c r="A311" s="125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26"/>
      <c r="AG311" s="126"/>
      <c r="AH311" s="127"/>
    </row>
    <row r="312" spans="1:34" x14ac:dyDescent="0.25">
      <c r="A312" s="128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30"/>
    </row>
    <row r="313" spans="1:34" ht="15" x14ac:dyDescent="0.25">
      <c r="A313" s="48"/>
      <c r="B313" s="48"/>
      <c r="C313" s="48"/>
      <c r="D313" s="48"/>
      <c r="E313" s="48"/>
      <c r="F313" s="48"/>
    </row>
    <row r="314" spans="1:34" ht="13.8" x14ac:dyDescent="0.25">
      <c r="A314" s="117"/>
      <c r="B314" s="117"/>
      <c r="C314" s="117"/>
      <c r="D314" s="117"/>
      <c r="E314" s="118"/>
      <c r="F314" s="118"/>
    </row>
    <row r="315" spans="1:34" x14ac:dyDescent="0.25">
      <c r="A315" s="119" t="s">
        <v>939</v>
      </c>
      <c r="B315" s="119"/>
      <c r="C315" s="119"/>
      <c r="D315" s="119"/>
      <c r="E315" s="119" t="s">
        <v>940</v>
      </c>
      <c r="F315" s="119"/>
    </row>
  </sheetData>
  <protectedRanges>
    <protectedRange sqref="AU8:AV10" name="Rango1_1"/>
  </protectedRanges>
  <mergeCells count="91">
    <mergeCell ref="A1:AV1"/>
    <mergeCell ref="A31:B31"/>
    <mergeCell ref="A8:B8"/>
    <mergeCell ref="C8:AG8"/>
    <mergeCell ref="AA5:AD5"/>
    <mergeCell ref="AE5:AH5"/>
    <mergeCell ref="AA3:AH3"/>
    <mergeCell ref="AA4:AD4"/>
    <mergeCell ref="AE4:AH4"/>
    <mergeCell ref="AU8:AV10"/>
    <mergeCell ref="B9:B10"/>
    <mergeCell ref="A9:A10"/>
    <mergeCell ref="AJ8:AJ10"/>
    <mergeCell ref="A314:D314"/>
    <mergeCell ref="E314:F314"/>
    <mergeCell ref="A315:D315"/>
    <mergeCell ref="E315:F315"/>
    <mergeCell ref="A309:AH309"/>
    <mergeCell ref="A310:AH312"/>
    <mergeCell ref="C33:AG33"/>
    <mergeCell ref="AH33:AH34"/>
    <mergeCell ref="A34:A35"/>
    <mergeCell ref="B34:B35"/>
    <mergeCell ref="AH8:AH9"/>
    <mergeCell ref="A33:B33"/>
    <mergeCell ref="AH83:AH84"/>
    <mergeCell ref="A84:A85"/>
    <mergeCell ref="B84:B85"/>
    <mergeCell ref="A56:B56"/>
    <mergeCell ref="A58:B58"/>
    <mergeCell ref="C58:AG58"/>
    <mergeCell ref="AH58:AH59"/>
    <mergeCell ref="A59:A60"/>
    <mergeCell ref="B59:B60"/>
    <mergeCell ref="A106:B106"/>
    <mergeCell ref="B109:B110"/>
    <mergeCell ref="A81:B81"/>
    <mergeCell ref="A83:B83"/>
    <mergeCell ref="C83:AG83"/>
    <mergeCell ref="A108:B108"/>
    <mergeCell ref="C108:AG108"/>
    <mergeCell ref="AH108:AH109"/>
    <mergeCell ref="A109:A110"/>
    <mergeCell ref="A131:B131"/>
    <mergeCell ref="A156:B156"/>
    <mergeCell ref="A133:B133"/>
    <mergeCell ref="C133:AG133"/>
    <mergeCell ref="AH133:AH134"/>
    <mergeCell ref="A134:A135"/>
    <mergeCell ref="B134:B135"/>
    <mergeCell ref="A181:B181"/>
    <mergeCell ref="A158:B158"/>
    <mergeCell ref="C158:AG158"/>
    <mergeCell ref="AH158:AH159"/>
    <mergeCell ref="A159:A160"/>
    <mergeCell ref="B159:B160"/>
    <mergeCell ref="A183:B183"/>
    <mergeCell ref="C183:AG183"/>
    <mergeCell ref="AH183:AH184"/>
    <mergeCell ref="A184:A185"/>
    <mergeCell ref="B184:B185"/>
    <mergeCell ref="AH233:AH234"/>
    <mergeCell ref="A234:A235"/>
    <mergeCell ref="A231:B231"/>
    <mergeCell ref="A206:B206"/>
    <mergeCell ref="A208:B208"/>
    <mergeCell ref="C208:AG208"/>
    <mergeCell ref="AH208:AH209"/>
    <mergeCell ref="A209:A210"/>
    <mergeCell ref="B209:B210"/>
    <mergeCell ref="B259:B260"/>
    <mergeCell ref="A256:B256"/>
    <mergeCell ref="B234:B235"/>
    <mergeCell ref="A233:B233"/>
    <mergeCell ref="C233:AG233"/>
    <mergeCell ref="A306:B306"/>
    <mergeCell ref="AL8:AS8"/>
    <mergeCell ref="AL9:AM10"/>
    <mergeCell ref="AN9:AO10"/>
    <mergeCell ref="AP9:AQ10"/>
    <mergeCell ref="AR9:AS10"/>
    <mergeCell ref="A281:B281"/>
    <mergeCell ref="A283:B283"/>
    <mergeCell ref="C283:AG283"/>
    <mergeCell ref="AH283:AH284"/>
    <mergeCell ref="A284:A285"/>
    <mergeCell ref="B284:B285"/>
    <mergeCell ref="A258:B258"/>
    <mergeCell ref="C258:AG258"/>
    <mergeCell ref="AH258:AH259"/>
    <mergeCell ref="A259:A260"/>
  </mergeCells>
  <conditionalFormatting sqref="C36:AD55">
    <cfRule type="cellIs" dxfId="77" priority="11" operator="equal">
      <formula>0</formula>
    </cfRule>
  </conditionalFormatting>
  <conditionalFormatting sqref="C86:AF105">
    <cfRule type="cellIs" dxfId="76" priority="9" operator="equal">
      <formula>0</formula>
    </cfRule>
  </conditionalFormatting>
  <conditionalFormatting sqref="C136:AF155">
    <cfRule type="cellIs" dxfId="75" priority="7" operator="equal">
      <formula>0</formula>
    </cfRule>
  </conditionalFormatting>
  <conditionalFormatting sqref="C211:AF230">
    <cfRule type="cellIs" dxfId="74" priority="4" operator="equal">
      <formula>0</formula>
    </cfRule>
  </conditionalFormatting>
  <conditionalFormatting sqref="C261:AF280">
    <cfRule type="cellIs" dxfId="73" priority="2" operator="equal">
      <formula>0</formula>
    </cfRule>
  </conditionalFormatting>
  <conditionalFormatting sqref="C11:AG30">
    <cfRule type="cellIs" dxfId="72" priority="13" operator="equal">
      <formula>0</formula>
    </cfRule>
  </conditionalFormatting>
  <conditionalFormatting sqref="C31:AG31">
    <cfRule type="colorScale" priority="57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56:AG56">
    <cfRule type="colorScale" priority="28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57:AG57">
    <cfRule type="colorScale" priority="49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61:AG80">
    <cfRule type="cellIs" dxfId="71" priority="10" operator="equal">
      <formula>0</formula>
    </cfRule>
  </conditionalFormatting>
  <conditionalFormatting sqref="C81:AG81">
    <cfRule type="colorScale" priority="27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106:AG106">
    <cfRule type="colorScale" priority="26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111:AG130">
    <cfRule type="cellIs" dxfId="70" priority="8" operator="equal">
      <formula>0</formula>
    </cfRule>
  </conditionalFormatting>
  <conditionalFormatting sqref="C131:AG131">
    <cfRule type="colorScale" priority="25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156:AG156">
    <cfRule type="colorScale" priority="24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161:AG180">
    <cfRule type="cellIs" dxfId="69" priority="6" operator="equal">
      <formula>0</formula>
    </cfRule>
  </conditionalFormatting>
  <conditionalFormatting sqref="C181:AG181">
    <cfRule type="colorScale" priority="23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186:AG205">
    <cfRule type="cellIs" dxfId="68" priority="5" operator="equal">
      <formula>0</formula>
    </cfRule>
  </conditionalFormatting>
  <conditionalFormatting sqref="C206:AG206">
    <cfRule type="colorScale" priority="22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231:AG231">
    <cfRule type="colorScale" priority="21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236:AG255">
    <cfRule type="cellIs" dxfId="67" priority="3" operator="equal">
      <formula>0</formula>
    </cfRule>
  </conditionalFormatting>
  <conditionalFormatting sqref="C256:AG256">
    <cfRule type="colorScale" priority="20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281:AG281">
    <cfRule type="colorScale" priority="19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C286:AG305">
    <cfRule type="cellIs" dxfId="66" priority="1" operator="equal">
      <formula>0</formula>
    </cfRule>
  </conditionalFormatting>
  <conditionalFormatting sqref="C306:AG306">
    <cfRule type="colorScale" priority="18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11:AH30">
    <cfRule type="colorScale" priority="58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36:AH55">
    <cfRule type="colorScale" priority="50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61:AH80">
    <cfRule type="colorScale" priority="48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86:AH105">
    <cfRule type="colorScale" priority="46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111:AH130">
    <cfRule type="colorScale" priority="44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136:AH155">
    <cfRule type="colorScale" priority="42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161:AH180">
    <cfRule type="colorScale" priority="40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186:AH205">
    <cfRule type="colorScale" priority="38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211:AH230">
    <cfRule type="colorScale" priority="36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236:AH255">
    <cfRule type="colorScale" priority="34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261:AH280">
    <cfRule type="colorScale" priority="32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H286:AH305">
    <cfRule type="colorScale" priority="30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M11:AM30">
    <cfRule type="colorScale" priority="17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O11:AO30">
    <cfRule type="colorScale" priority="16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Q11:AQ30">
    <cfRule type="colorScale" priority="15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S11:AS30">
    <cfRule type="colorScale" priority="14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V11:AV30">
    <cfRule type="colorScale" priority="51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dataValidations count="1">
    <dataValidation type="decimal" allowBlank="1" showInputMessage="1" showErrorMessage="1" sqref="AL11:AS30 AU11:AV30" xr:uid="{EEF83D2D-311F-4AA8-81A3-5DE0D3EDB5BA}">
      <formula1>0</formula1>
      <formula2>10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933A-059F-4FCE-8FC3-B16801453045}">
  <sheetPr>
    <tabColor theme="3"/>
  </sheetPr>
  <dimension ref="A1:BE556"/>
  <sheetViews>
    <sheetView showGridLines="0" view="pageBreakPreview" zoomScaleNormal="90" zoomScaleSheetLayoutView="100" workbookViewId="0">
      <selection activeCell="O13" sqref="O13"/>
    </sheetView>
  </sheetViews>
  <sheetFormatPr baseColWidth="10" defaultColWidth="9.109375" defaultRowHeight="13.2" x14ac:dyDescent="0.25"/>
  <cols>
    <col min="1" max="1" width="6.21875" style="9" customWidth="1"/>
    <col min="2" max="2" width="33.109375" style="9" customWidth="1"/>
    <col min="3" max="3" width="15.77734375" style="9" customWidth="1"/>
    <col min="4" max="4" width="7" style="9" customWidth="1"/>
    <col min="5" max="6" width="6.33203125" style="9" customWidth="1"/>
    <col min="7" max="7" width="6.44140625" style="9" customWidth="1"/>
    <col min="8" max="9" width="4.33203125" style="9" customWidth="1"/>
    <col min="10" max="10" width="5.5546875" style="9" customWidth="1"/>
    <col min="11" max="31" width="4.33203125" style="9" customWidth="1"/>
    <col min="32" max="32" width="4.33203125" style="22" customWidth="1"/>
    <col min="33" max="38" width="4.33203125" style="9" customWidth="1"/>
    <col min="39" max="40" width="5.109375" style="9" customWidth="1"/>
    <col min="41" max="41" width="13" style="9" customWidth="1"/>
    <col min="42" max="42" width="12.21875" style="9" customWidth="1"/>
    <col min="43" max="43" width="7.44140625" style="9" customWidth="1"/>
    <col min="44" max="44" width="9.109375" style="9"/>
    <col min="45" max="45" width="33.6640625" style="9" customWidth="1"/>
    <col min="46" max="46" width="1.21875" style="9" customWidth="1"/>
    <col min="47" max="47" width="4.88671875" style="9" customWidth="1"/>
    <col min="48" max="48" width="5.109375" style="9" customWidth="1"/>
    <col min="49" max="49" width="5.33203125" style="9" customWidth="1"/>
    <col min="50" max="52" width="5.109375" style="9" customWidth="1"/>
    <col min="53" max="54" width="5.21875" style="9" customWidth="1"/>
    <col min="55" max="55" width="1.21875" style="9" customWidth="1"/>
    <col min="56" max="260" width="9.109375" style="9"/>
    <col min="261" max="261" width="3.6640625" style="9" customWidth="1"/>
    <col min="262" max="263" width="7.6640625" style="9" customWidth="1"/>
    <col min="264" max="264" width="22.44140625" style="9" customWidth="1"/>
    <col min="265" max="295" width="4.33203125" style="9" customWidth="1"/>
    <col min="296" max="296" width="5.109375" style="9" customWidth="1"/>
    <col min="297" max="297" width="4.109375" style="9" customWidth="1"/>
    <col min="298" max="298" width="4.33203125" style="9" customWidth="1"/>
    <col min="299" max="516" width="9.109375" style="9"/>
    <col min="517" max="517" width="3.6640625" style="9" customWidth="1"/>
    <col min="518" max="519" width="7.6640625" style="9" customWidth="1"/>
    <col min="520" max="520" width="22.44140625" style="9" customWidth="1"/>
    <col min="521" max="551" width="4.33203125" style="9" customWidth="1"/>
    <col min="552" max="552" width="5.109375" style="9" customWidth="1"/>
    <col min="553" max="553" width="4.109375" style="9" customWidth="1"/>
    <col min="554" max="554" width="4.33203125" style="9" customWidth="1"/>
    <col min="555" max="772" width="9.109375" style="9"/>
    <col min="773" max="773" width="3.6640625" style="9" customWidth="1"/>
    <col min="774" max="775" width="7.6640625" style="9" customWidth="1"/>
    <col min="776" max="776" width="22.44140625" style="9" customWidth="1"/>
    <col min="777" max="807" width="4.33203125" style="9" customWidth="1"/>
    <col min="808" max="808" width="5.109375" style="9" customWidth="1"/>
    <col min="809" max="809" width="4.109375" style="9" customWidth="1"/>
    <col min="810" max="810" width="4.33203125" style="9" customWidth="1"/>
    <col min="811" max="1028" width="9.109375" style="9"/>
    <col min="1029" max="1029" width="3.6640625" style="9" customWidth="1"/>
    <col min="1030" max="1031" width="7.6640625" style="9" customWidth="1"/>
    <col min="1032" max="1032" width="22.44140625" style="9" customWidth="1"/>
    <col min="1033" max="1063" width="4.33203125" style="9" customWidth="1"/>
    <col min="1064" max="1064" width="5.109375" style="9" customWidth="1"/>
    <col min="1065" max="1065" width="4.109375" style="9" customWidth="1"/>
    <col min="1066" max="1066" width="4.33203125" style="9" customWidth="1"/>
    <col min="1067" max="1284" width="9.109375" style="9"/>
    <col min="1285" max="1285" width="3.6640625" style="9" customWidth="1"/>
    <col min="1286" max="1287" width="7.6640625" style="9" customWidth="1"/>
    <col min="1288" max="1288" width="22.44140625" style="9" customWidth="1"/>
    <col min="1289" max="1319" width="4.33203125" style="9" customWidth="1"/>
    <col min="1320" max="1320" width="5.109375" style="9" customWidth="1"/>
    <col min="1321" max="1321" width="4.109375" style="9" customWidth="1"/>
    <col min="1322" max="1322" width="4.33203125" style="9" customWidth="1"/>
    <col min="1323" max="1540" width="9.109375" style="9"/>
    <col min="1541" max="1541" width="3.6640625" style="9" customWidth="1"/>
    <col min="1542" max="1543" width="7.6640625" style="9" customWidth="1"/>
    <col min="1544" max="1544" width="22.44140625" style="9" customWidth="1"/>
    <col min="1545" max="1575" width="4.33203125" style="9" customWidth="1"/>
    <col min="1576" max="1576" width="5.109375" style="9" customWidth="1"/>
    <col min="1577" max="1577" width="4.109375" style="9" customWidth="1"/>
    <col min="1578" max="1578" width="4.33203125" style="9" customWidth="1"/>
    <col min="1579" max="1796" width="9.109375" style="9"/>
    <col min="1797" max="1797" width="3.6640625" style="9" customWidth="1"/>
    <col min="1798" max="1799" width="7.6640625" style="9" customWidth="1"/>
    <col min="1800" max="1800" width="22.44140625" style="9" customWidth="1"/>
    <col min="1801" max="1831" width="4.33203125" style="9" customWidth="1"/>
    <col min="1832" max="1832" width="5.109375" style="9" customWidth="1"/>
    <col min="1833" max="1833" width="4.109375" style="9" customWidth="1"/>
    <col min="1834" max="1834" width="4.33203125" style="9" customWidth="1"/>
    <col min="1835" max="2052" width="9.109375" style="9"/>
    <col min="2053" max="2053" width="3.6640625" style="9" customWidth="1"/>
    <col min="2054" max="2055" width="7.6640625" style="9" customWidth="1"/>
    <col min="2056" max="2056" width="22.44140625" style="9" customWidth="1"/>
    <col min="2057" max="2087" width="4.33203125" style="9" customWidth="1"/>
    <col min="2088" max="2088" width="5.109375" style="9" customWidth="1"/>
    <col min="2089" max="2089" width="4.109375" style="9" customWidth="1"/>
    <col min="2090" max="2090" width="4.33203125" style="9" customWidth="1"/>
    <col min="2091" max="2308" width="9.109375" style="9"/>
    <col min="2309" max="2309" width="3.6640625" style="9" customWidth="1"/>
    <col min="2310" max="2311" width="7.6640625" style="9" customWidth="1"/>
    <col min="2312" max="2312" width="22.44140625" style="9" customWidth="1"/>
    <col min="2313" max="2343" width="4.33203125" style="9" customWidth="1"/>
    <col min="2344" max="2344" width="5.109375" style="9" customWidth="1"/>
    <col min="2345" max="2345" width="4.109375" style="9" customWidth="1"/>
    <col min="2346" max="2346" width="4.33203125" style="9" customWidth="1"/>
    <col min="2347" max="2564" width="9.109375" style="9"/>
    <col min="2565" max="2565" width="3.6640625" style="9" customWidth="1"/>
    <col min="2566" max="2567" width="7.6640625" style="9" customWidth="1"/>
    <col min="2568" max="2568" width="22.44140625" style="9" customWidth="1"/>
    <col min="2569" max="2599" width="4.33203125" style="9" customWidth="1"/>
    <col min="2600" max="2600" width="5.109375" style="9" customWidth="1"/>
    <col min="2601" max="2601" width="4.109375" style="9" customWidth="1"/>
    <col min="2602" max="2602" width="4.33203125" style="9" customWidth="1"/>
    <col min="2603" max="2820" width="9.109375" style="9"/>
    <col min="2821" max="2821" width="3.6640625" style="9" customWidth="1"/>
    <col min="2822" max="2823" width="7.6640625" style="9" customWidth="1"/>
    <col min="2824" max="2824" width="22.44140625" style="9" customWidth="1"/>
    <col min="2825" max="2855" width="4.33203125" style="9" customWidth="1"/>
    <col min="2856" max="2856" width="5.109375" style="9" customWidth="1"/>
    <col min="2857" max="2857" width="4.109375" style="9" customWidth="1"/>
    <col min="2858" max="2858" width="4.33203125" style="9" customWidth="1"/>
    <col min="2859" max="3076" width="9.109375" style="9"/>
    <col min="3077" max="3077" width="3.6640625" style="9" customWidth="1"/>
    <col min="3078" max="3079" width="7.6640625" style="9" customWidth="1"/>
    <col min="3080" max="3080" width="22.44140625" style="9" customWidth="1"/>
    <col min="3081" max="3111" width="4.33203125" style="9" customWidth="1"/>
    <col min="3112" max="3112" width="5.109375" style="9" customWidth="1"/>
    <col min="3113" max="3113" width="4.109375" style="9" customWidth="1"/>
    <col min="3114" max="3114" width="4.33203125" style="9" customWidth="1"/>
    <col min="3115" max="3332" width="9.109375" style="9"/>
    <col min="3333" max="3333" width="3.6640625" style="9" customWidth="1"/>
    <col min="3334" max="3335" width="7.6640625" style="9" customWidth="1"/>
    <col min="3336" max="3336" width="22.44140625" style="9" customWidth="1"/>
    <col min="3337" max="3367" width="4.33203125" style="9" customWidth="1"/>
    <col min="3368" max="3368" width="5.109375" style="9" customWidth="1"/>
    <col min="3369" max="3369" width="4.109375" style="9" customWidth="1"/>
    <col min="3370" max="3370" width="4.33203125" style="9" customWidth="1"/>
    <col min="3371" max="3588" width="9.109375" style="9"/>
    <col min="3589" max="3589" width="3.6640625" style="9" customWidth="1"/>
    <col min="3590" max="3591" width="7.6640625" style="9" customWidth="1"/>
    <col min="3592" max="3592" width="22.44140625" style="9" customWidth="1"/>
    <col min="3593" max="3623" width="4.33203125" style="9" customWidth="1"/>
    <col min="3624" max="3624" width="5.109375" style="9" customWidth="1"/>
    <col min="3625" max="3625" width="4.109375" style="9" customWidth="1"/>
    <col min="3626" max="3626" width="4.33203125" style="9" customWidth="1"/>
    <col min="3627" max="3844" width="9.109375" style="9"/>
    <col min="3845" max="3845" width="3.6640625" style="9" customWidth="1"/>
    <col min="3846" max="3847" width="7.6640625" style="9" customWidth="1"/>
    <col min="3848" max="3848" width="22.44140625" style="9" customWidth="1"/>
    <col min="3849" max="3879" width="4.33203125" style="9" customWidth="1"/>
    <col min="3880" max="3880" width="5.109375" style="9" customWidth="1"/>
    <col min="3881" max="3881" width="4.109375" style="9" customWidth="1"/>
    <col min="3882" max="3882" width="4.33203125" style="9" customWidth="1"/>
    <col min="3883" max="4100" width="9.109375" style="9"/>
    <col min="4101" max="4101" width="3.6640625" style="9" customWidth="1"/>
    <col min="4102" max="4103" width="7.6640625" style="9" customWidth="1"/>
    <col min="4104" max="4104" width="22.44140625" style="9" customWidth="1"/>
    <col min="4105" max="4135" width="4.33203125" style="9" customWidth="1"/>
    <col min="4136" max="4136" width="5.109375" style="9" customWidth="1"/>
    <col min="4137" max="4137" width="4.109375" style="9" customWidth="1"/>
    <col min="4138" max="4138" width="4.33203125" style="9" customWidth="1"/>
    <col min="4139" max="4356" width="9.109375" style="9"/>
    <col min="4357" max="4357" width="3.6640625" style="9" customWidth="1"/>
    <col min="4358" max="4359" width="7.6640625" style="9" customWidth="1"/>
    <col min="4360" max="4360" width="22.44140625" style="9" customWidth="1"/>
    <col min="4361" max="4391" width="4.33203125" style="9" customWidth="1"/>
    <col min="4392" max="4392" width="5.109375" style="9" customWidth="1"/>
    <col min="4393" max="4393" width="4.109375" style="9" customWidth="1"/>
    <col min="4394" max="4394" width="4.33203125" style="9" customWidth="1"/>
    <col min="4395" max="4612" width="9.109375" style="9"/>
    <col min="4613" max="4613" width="3.6640625" style="9" customWidth="1"/>
    <col min="4614" max="4615" width="7.6640625" style="9" customWidth="1"/>
    <col min="4616" max="4616" width="22.44140625" style="9" customWidth="1"/>
    <col min="4617" max="4647" width="4.33203125" style="9" customWidth="1"/>
    <col min="4648" max="4648" width="5.109375" style="9" customWidth="1"/>
    <col min="4649" max="4649" width="4.109375" style="9" customWidth="1"/>
    <col min="4650" max="4650" width="4.33203125" style="9" customWidth="1"/>
    <col min="4651" max="4868" width="9.109375" style="9"/>
    <col min="4869" max="4869" width="3.6640625" style="9" customWidth="1"/>
    <col min="4870" max="4871" width="7.6640625" style="9" customWidth="1"/>
    <col min="4872" max="4872" width="22.44140625" style="9" customWidth="1"/>
    <col min="4873" max="4903" width="4.33203125" style="9" customWidth="1"/>
    <col min="4904" max="4904" width="5.109375" style="9" customWidth="1"/>
    <col min="4905" max="4905" width="4.109375" style="9" customWidth="1"/>
    <col min="4906" max="4906" width="4.33203125" style="9" customWidth="1"/>
    <col min="4907" max="5124" width="9.109375" style="9"/>
    <col min="5125" max="5125" width="3.6640625" style="9" customWidth="1"/>
    <col min="5126" max="5127" width="7.6640625" style="9" customWidth="1"/>
    <col min="5128" max="5128" width="22.44140625" style="9" customWidth="1"/>
    <col min="5129" max="5159" width="4.33203125" style="9" customWidth="1"/>
    <col min="5160" max="5160" width="5.109375" style="9" customWidth="1"/>
    <col min="5161" max="5161" width="4.109375" style="9" customWidth="1"/>
    <col min="5162" max="5162" width="4.33203125" style="9" customWidth="1"/>
    <col min="5163" max="5380" width="9.109375" style="9"/>
    <col min="5381" max="5381" width="3.6640625" style="9" customWidth="1"/>
    <col min="5382" max="5383" width="7.6640625" style="9" customWidth="1"/>
    <col min="5384" max="5384" width="22.44140625" style="9" customWidth="1"/>
    <col min="5385" max="5415" width="4.33203125" style="9" customWidth="1"/>
    <col min="5416" max="5416" width="5.109375" style="9" customWidth="1"/>
    <col min="5417" max="5417" width="4.109375" style="9" customWidth="1"/>
    <col min="5418" max="5418" width="4.33203125" style="9" customWidth="1"/>
    <col min="5419" max="5636" width="9.109375" style="9"/>
    <col min="5637" max="5637" width="3.6640625" style="9" customWidth="1"/>
    <col min="5638" max="5639" width="7.6640625" style="9" customWidth="1"/>
    <col min="5640" max="5640" width="22.44140625" style="9" customWidth="1"/>
    <col min="5641" max="5671" width="4.33203125" style="9" customWidth="1"/>
    <col min="5672" max="5672" width="5.109375" style="9" customWidth="1"/>
    <col min="5673" max="5673" width="4.109375" style="9" customWidth="1"/>
    <col min="5674" max="5674" width="4.33203125" style="9" customWidth="1"/>
    <col min="5675" max="5892" width="9.109375" style="9"/>
    <col min="5893" max="5893" width="3.6640625" style="9" customWidth="1"/>
    <col min="5894" max="5895" width="7.6640625" style="9" customWidth="1"/>
    <col min="5896" max="5896" width="22.44140625" style="9" customWidth="1"/>
    <col min="5897" max="5927" width="4.33203125" style="9" customWidth="1"/>
    <col min="5928" max="5928" width="5.109375" style="9" customWidth="1"/>
    <col min="5929" max="5929" width="4.109375" style="9" customWidth="1"/>
    <col min="5930" max="5930" width="4.33203125" style="9" customWidth="1"/>
    <col min="5931" max="6148" width="9.109375" style="9"/>
    <col min="6149" max="6149" width="3.6640625" style="9" customWidth="1"/>
    <col min="6150" max="6151" width="7.6640625" style="9" customWidth="1"/>
    <col min="6152" max="6152" width="22.44140625" style="9" customWidth="1"/>
    <col min="6153" max="6183" width="4.33203125" style="9" customWidth="1"/>
    <col min="6184" max="6184" width="5.109375" style="9" customWidth="1"/>
    <col min="6185" max="6185" width="4.109375" style="9" customWidth="1"/>
    <col min="6186" max="6186" width="4.33203125" style="9" customWidth="1"/>
    <col min="6187" max="6404" width="9.109375" style="9"/>
    <col min="6405" max="6405" width="3.6640625" style="9" customWidth="1"/>
    <col min="6406" max="6407" width="7.6640625" style="9" customWidth="1"/>
    <col min="6408" max="6408" width="22.44140625" style="9" customWidth="1"/>
    <col min="6409" max="6439" width="4.33203125" style="9" customWidth="1"/>
    <col min="6440" max="6440" width="5.109375" style="9" customWidth="1"/>
    <col min="6441" max="6441" width="4.109375" style="9" customWidth="1"/>
    <col min="6442" max="6442" width="4.33203125" style="9" customWidth="1"/>
    <col min="6443" max="6660" width="9.109375" style="9"/>
    <col min="6661" max="6661" width="3.6640625" style="9" customWidth="1"/>
    <col min="6662" max="6663" width="7.6640625" style="9" customWidth="1"/>
    <col min="6664" max="6664" width="22.44140625" style="9" customWidth="1"/>
    <col min="6665" max="6695" width="4.33203125" style="9" customWidth="1"/>
    <col min="6696" max="6696" width="5.109375" style="9" customWidth="1"/>
    <col min="6697" max="6697" width="4.109375" style="9" customWidth="1"/>
    <col min="6698" max="6698" width="4.33203125" style="9" customWidth="1"/>
    <col min="6699" max="6916" width="9.109375" style="9"/>
    <col min="6917" max="6917" width="3.6640625" style="9" customWidth="1"/>
    <col min="6918" max="6919" width="7.6640625" style="9" customWidth="1"/>
    <col min="6920" max="6920" width="22.44140625" style="9" customWidth="1"/>
    <col min="6921" max="6951" width="4.33203125" style="9" customWidth="1"/>
    <col min="6952" max="6952" width="5.109375" style="9" customWidth="1"/>
    <col min="6953" max="6953" width="4.109375" style="9" customWidth="1"/>
    <col min="6954" max="6954" width="4.33203125" style="9" customWidth="1"/>
    <col min="6955" max="7172" width="9.109375" style="9"/>
    <col min="7173" max="7173" width="3.6640625" style="9" customWidth="1"/>
    <col min="7174" max="7175" width="7.6640625" style="9" customWidth="1"/>
    <col min="7176" max="7176" width="22.44140625" style="9" customWidth="1"/>
    <col min="7177" max="7207" width="4.33203125" style="9" customWidth="1"/>
    <col min="7208" max="7208" width="5.109375" style="9" customWidth="1"/>
    <col min="7209" max="7209" width="4.109375" style="9" customWidth="1"/>
    <col min="7210" max="7210" width="4.33203125" style="9" customWidth="1"/>
    <col min="7211" max="7428" width="9.109375" style="9"/>
    <col min="7429" max="7429" width="3.6640625" style="9" customWidth="1"/>
    <col min="7430" max="7431" width="7.6640625" style="9" customWidth="1"/>
    <col min="7432" max="7432" width="22.44140625" style="9" customWidth="1"/>
    <col min="7433" max="7463" width="4.33203125" style="9" customWidth="1"/>
    <col min="7464" max="7464" width="5.109375" style="9" customWidth="1"/>
    <col min="7465" max="7465" width="4.109375" style="9" customWidth="1"/>
    <col min="7466" max="7466" width="4.33203125" style="9" customWidth="1"/>
    <col min="7467" max="7684" width="9.109375" style="9"/>
    <col min="7685" max="7685" width="3.6640625" style="9" customWidth="1"/>
    <col min="7686" max="7687" width="7.6640625" style="9" customWidth="1"/>
    <col min="7688" max="7688" width="22.44140625" style="9" customWidth="1"/>
    <col min="7689" max="7719" width="4.33203125" style="9" customWidth="1"/>
    <col min="7720" max="7720" width="5.109375" style="9" customWidth="1"/>
    <col min="7721" max="7721" width="4.109375" style="9" customWidth="1"/>
    <col min="7722" max="7722" width="4.33203125" style="9" customWidth="1"/>
    <col min="7723" max="7940" width="9.109375" style="9"/>
    <col min="7941" max="7941" width="3.6640625" style="9" customWidth="1"/>
    <col min="7942" max="7943" width="7.6640625" style="9" customWidth="1"/>
    <col min="7944" max="7944" width="22.44140625" style="9" customWidth="1"/>
    <col min="7945" max="7975" width="4.33203125" style="9" customWidth="1"/>
    <col min="7976" max="7976" width="5.109375" style="9" customWidth="1"/>
    <col min="7977" max="7977" width="4.109375" style="9" customWidth="1"/>
    <col min="7978" max="7978" width="4.33203125" style="9" customWidth="1"/>
    <col min="7979" max="8196" width="9.109375" style="9"/>
    <col min="8197" max="8197" width="3.6640625" style="9" customWidth="1"/>
    <col min="8198" max="8199" width="7.6640625" style="9" customWidth="1"/>
    <col min="8200" max="8200" width="22.44140625" style="9" customWidth="1"/>
    <col min="8201" max="8231" width="4.33203125" style="9" customWidth="1"/>
    <col min="8232" max="8232" width="5.109375" style="9" customWidth="1"/>
    <col min="8233" max="8233" width="4.109375" style="9" customWidth="1"/>
    <col min="8234" max="8234" width="4.33203125" style="9" customWidth="1"/>
    <col min="8235" max="8452" width="9.109375" style="9"/>
    <col min="8453" max="8453" width="3.6640625" style="9" customWidth="1"/>
    <col min="8454" max="8455" width="7.6640625" style="9" customWidth="1"/>
    <col min="8456" max="8456" width="22.44140625" style="9" customWidth="1"/>
    <col min="8457" max="8487" width="4.33203125" style="9" customWidth="1"/>
    <col min="8488" max="8488" width="5.109375" style="9" customWidth="1"/>
    <col min="8489" max="8489" width="4.109375" style="9" customWidth="1"/>
    <col min="8490" max="8490" width="4.33203125" style="9" customWidth="1"/>
    <col min="8491" max="8708" width="9.109375" style="9"/>
    <col min="8709" max="8709" width="3.6640625" style="9" customWidth="1"/>
    <col min="8710" max="8711" width="7.6640625" style="9" customWidth="1"/>
    <col min="8712" max="8712" width="22.44140625" style="9" customWidth="1"/>
    <col min="8713" max="8743" width="4.33203125" style="9" customWidth="1"/>
    <col min="8744" max="8744" width="5.109375" style="9" customWidth="1"/>
    <col min="8745" max="8745" width="4.109375" style="9" customWidth="1"/>
    <col min="8746" max="8746" width="4.33203125" style="9" customWidth="1"/>
    <col min="8747" max="8964" width="9.109375" style="9"/>
    <col min="8965" max="8965" width="3.6640625" style="9" customWidth="1"/>
    <col min="8966" max="8967" width="7.6640625" style="9" customWidth="1"/>
    <col min="8968" max="8968" width="22.44140625" style="9" customWidth="1"/>
    <col min="8969" max="8999" width="4.33203125" style="9" customWidth="1"/>
    <col min="9000" max="9000" width="5.109375" style="9" customWidth="1"/>
    <col min="9001" max="9001" width="4.109375" style="9" customWidth="1"/>
    <col min="9002" max="9002" width="4.33203125" style="9" customWidth="1"/>
    <col min="9003" max="9220" width="9.109375" style="9"/>
    <col min="9221" max="9221" width="3.6640625" style="9" customWidth="1"/>
    <col min="9222" max="9223" width="7.6640625" style="9" customWidth="1"/>
    <col min="9224" max="9224" width="22.44140625" style="9" customWidth="1"/>
    <col min="9225" max="9255" width="4.33203125" style="9" customWidth="1"/>
    <col min="9256" max="9256" width="5.109375" style="9" customWidth="1"/>
    <col min="9257" max="9257" width="4.109375" style="9" customWidth="1"/>
    <col min="9258" max="9258" width="4.33203125" style="9" customWidth="1"/>
    <col min="9259" max="9476" width="9.109375" style="9"/>
    <col min="9477" max="9477" width="3.6640625" style="9" customWidth="1"/>
    <col min="9478" max="9479" width="7.6640625" style="9" customWidth="1"/>
    <col min="9480" max="9480" width="22.44140625" style="9" customWidth="1"/>
    <col min="9481" max="9511" width="4.33203125" style="9" customWidth="1"/>
    <col min="9512" max="9512" width="5.109375" style="9" customWidth="1"/>
    <col min="9513" max="9513" width="4.109375" style="9" customWidth="1"/>
    <col min="9514" max="9514" width="4.33203125" style="9" customWidth="1"/>
    <col min="9515" max="9732" width="9.109375" style="9"/>
    <col min="9733" max="9733" width="3.6640625" style="9" customWidth="1"/>
    <col min="9734" max="9735" width="7.6640625" style="9" customWidth="1"/>
    <col min="9736" max="9736" width="22.44140625" style="9" customWidth="1"/>
    <col min="9737" max="9767" width="4.33203125" style="9" customWidth="1"/>
    <col min="9768" max="9768" width="5.109375" style="9" customWidth="1"/>
    <col min="9769" max="9769" width="4.109375" style="9" customWidth="1"/>
    <col min="9770" max="9770" width="4.33203125" style="9" customWidth="1"/>
    <col min="9771" max="9988" width="9.109375" style="9"/>
    <col min="9989" max="9989" width="3.6640625" style="9" customWidth="1"/>
    <col min="9990" max="9991" width="7.6640625" style="9" customWidth="1"/>
    <col min="9992" max="9992" width="22.44140625" style="9" customWidth="1"/>
    <col min="9993" max="10023" width="4.33203125" style="9" customWidth="1"/>
    <col min="10024" max="10024" width="5.109375" style="9" customWidth="1"/>
    <col min="10025" max="10025" width="4.109375" style="9" customWidth="1"/>
    <col min="10026" max="10026" width="4.33203125" style="9" customWidth="1"/>
    <col min="10027" max="10244" width="9.109375" style="9"/>
    <col min="10245" max="10245" width="3.6640625" style="9" customWidth="1"/>
    <col min="10246" max="10247" width="7.6640625" style="9" customWidth="1"/>
    <col min="10248" max="10248" width="22.44140625" style="9" customWidth="1"/>
    <col min="10249" max="10279" width="4.33203125" style="9" customWidth="1"/>
    <col min="10280" max="10280" width="5.109375" style="9" customWidth="1"/>
    <col min="10281" max="10281" width="4.109375" style="9" customWidth="1"/>
    <col min="10282" max="10282" width="4.33203125" style="9" customWidth="1"/>
    <col min="10283" max="10500" width="9.109375" style="9"/>
    <col min="10501" max="10501" width="3.6640625" style="9" customWidth="1"/>
    <col min="10502" max="10503" width="7.6640625" style="9" customWidth="1"/>
    <col min="10504" max="10504" width="22.44140625" style="9" customWidth="1"/>
    <col min="10505" max="10535" width="4.33203125" style="9" customWidth="1"/>
    <col min="10536" max="10536" width="5.109375" style="9" customWidth="1"/>
    <col min="10537" max="10537" width="4.109375" style="9" customWidth="1"/>
    <col min="10538" max="10538" width="4.33203125" style="9" customWidth="1"/>
    <col min="10539" max="10756" width="9.109375" style="9"/>
    <col min="10757" max="10757" width="3.6640625" style="9" customWidth="1"/>
    <col min="10758" max="10759" width="7.6640625" style="9" customWidth="1"/>
    <col min="10760" max="10760" width="22.44140625" style="9" customWidth="1"/>
    <col min="10761" max="10791" width="4.33203125" style="9" customWidth="1"/>
    <col min="10792" max="10792" width="5.109375" style="9" customWidth="1"/>
    <col min="10793" max="10793" width="4.109375" style="9" customWidth="1"/>
    <col min="10794" max="10794" width="4.33203125" style="9" customWidth="1"/>
    <col min="10795" max="11012" width="9.109375" style="9"/>
    <col min="11013" max="11013" width="3.6640625" style="9" customWidth="1"/>
    <col min="11014" max="11015" width="7.6640625" style="9" customWidth="1"/>
    <col min="11016" max="11016" width="22.44140625" style="9" customWidth="1"/>
    <col min="11017" max="11047" width="4.33203125" style="9" customWidth="1"/>
    <col min="11048" max="11048" width="5.109375" style="9" customWidth="1"/>
    <col min="11049" max="11049" width="4.109375" style="9" customWidth="1"/>
    <col min="11050" max="11050" width="4.33203125" style="9" customWidth="1"/>
    <col min="11051" max="11268" width="9.109375" style="9"/>
    <col min="11269" max="11269" width="3.6640625" style="9" customWidth="1"/>
    <col min="11270" max="11271" width="7.6640625" style="9" customWidth="1"/>
    <col min="11272" max="11272" width="22.44140625" style="9" customWidth="1"/>
    <col min="11273" max="11303" width="4.33203125" style="9" customWidth="1"/>
    <col min="11304" max="11304" width="5.109375" style="9" customWidth="1"/>
    <col min="11305" max="11305" width="4.109375" style="9" customWidth="1"/>
    <col min="11306" max="11306" width="4.33203125" style="9" customWidth="1"/>
    <col min="11307" max="11524" width="9.109375" style="9"/>
    <col min="11525" max="11525" width="3.6640625" style="9" customWidth="1"/>
    <col min="11526" max="11527" width="7.6640625" style="9" customWidth="1"/>
    <col min="11528" max="11528" width="22.44140625" style="9" customWidth="1"/>
    <col min="11529" max="11559" width="4.33203125" style="9" customWidth="1"/>
    <col min="11560" max="11560" width="5.109375" style="9" customWidth="1"/>
    <col min="11561" max="11561" width="4.109375" style="9" customWidth="1"/>
    <col min="11562" max="11562" width="4.33203125" style="9" customWidth="1"/>
    <col min="11563" max="11780" width="9.109375" style="9"/>
    <col min="11781" max="11781" width="3.6640625" style="9" customWidth="1"/>
    <col min="11782" max="11783" width="7.6640625" style="9" customWidth="1"/>
    <col min="11784" max="11784" width="22.44140625" style="9" customWidth="1"/>
    <col min="11785" max="11815" width="4.33203125" style="9" customWidth="1"/>
    <col min="11816" max="11816" width="5.109375" style="9" customWidth="1"/>
    <col min="11817" max="11817" width="4.109375" style="9" customWidth="1"/>
    <col min="11818" max="11818" width="4.33203125" style="9" customWidth="1"/>
    <col min="11819" max="12036" width="9.109375" style="9"/>
    <col min="12037" max="12037" width="3.6640625" style="9" customWidth="1"/>
    <col min="12038" max="12039" width="7.6640625" style="9" customWidth="1"/>
    <col min="12040" max="12040" width="22.44140625" style="9" customWidth="1"/>
    <col min="12041" max="12071" width="4.33203125" style="9" customWidth="1"/>
    <col min="12072" max="12072" width="5.109375" style="9" customWidth="1"/>
    <col min="12073" max="12073" width="4.109375" style="9" customWidth="1"/>
    <col min="12074" max="12074" width="4.33203125" style="9" customWidth="1"/>
    <col min="12075" max="12292" width="9.109375" style="9"/>
    <col min="12293" max="12293" width="3.6640625" style="9" customWidth="1"/>
    <col min="12294" max="12295" width="7.6640625" style="9" customWidth="1"/>
    <col min="12296" max="12296" width="22.44140625" style="9" customWidth="1"/>
    <col min="12297" max="12327" width="4.33203125" style="9" customWidth="1"/>
    <col min="12328" max="12328" width="5.109375" style="9" customWidth="1"/>
    <col min="12329" max="12329" width="4.109375" style="9" customWidth="1"/>
    <col min="12330" max="12330" width="4.33203125" style="9" customWidth="1"/>
    <col min="12331" max="12548" width="9.109375" style="9"/>
    <col min="12549" max="12549" width="3.6640625" style="9" customWidth="1"/>
    <col min="12550" max="12551" width="7.6640625" style="9" customWidth="1"/>
    <col min="12552" max="12552" width="22.44140625" style="9" customWidth="1"/>
    <col min="12553" max="12583" width="4.33203125" style="9" customWidth="1"/>
    <col min="12584" max="12584" width="5.109375" style="9" customWidth="1"/>
    <col min="12585" max="12585" width="4.109375" style="9" customWidth="1"/>
    <col min="12586" max="12586" width="4.33203125" style="9" customWidth="1"/>
    <col min="12587" max="12804" width="9.109375" style="9"/>
    <col min="12805" max="12805" width="3.6640625" style="9" customWidth="1"/>
    <col min="12806" max="12807" width="7.6640625" style="9" customWidth="1"/>
    <col min="12808" max="12808" width="22.44140625" style="9" customWidth="1"/>
    <col min="12809" max="12839" width="4.33203125" style="9" customWidth="1"/>
    <col min="12840" max="12840" width="5.109375" style="9" customWidth="1"/>
    <col min="12841" max="12841" width="4.109375" style="9" customWidth="1"/>
    <col min="12842" max="12842" width="4.33203125" style="9" customWidth="1"/>
    <col min="12843" max="13060" width="9.109375" style="9"/>
    <col min="13061" max="13061" width="3.6640625" style="9" customWidth="1"/>
    <col min="13062" max="13063" width="7.6640625" style="9" customWidth="1"/>
    <col min="13064" max="13064" width="22.44140625" style="9" customWidth="1"/>
    <col min="13065" max="13095" width="4.33203125" style="9" customWidth="1"/>
    <col min="13096" max="13096" width="5.109375" style="9" customWidth="1"/>
    <col min="13097" max="13097" width="4.109375" style="9" customWidth="1"/>
    <col min="13098" max="13098" width="4.33203125" style="9" customWidth="1"/>
    <col min="13099" max="13316" width="9.109375" style="9"/>
    <col min="13317" max="13317" width="3.6640625" style="9" customWidth="1"/>
    <col min="13318" max="13319" width="7.6640625" style="9" customWidth="1"/>
    <col min="13320" max="13320" width="22.44140625" style="9" customWidth="1"/>
    <col min="13321" max="13351" width="4.33203125" style="9" customWidth="1"/>
    <col min="13352" max="13352" width="5.109375" style="9" customWidth="1"/>
    <col min="13353" max="13353" width="4.109375" style="9" customWidth="1"/>
    <col min="13354" max="13354" width="4.33203125" style="9" customWidth="1"/>
    <col min="13355" max="13572" width="9.109375" style="9"/>
    <col min="13573" max="13573" width="3.6640625" style="9" customWidth="1"/>
    <col min="13574" max="13575" width="7.6640625" style="9" customWidth="1"/>
    <col min="13576" max="13576" width="22.44140625" style="9" customWidth="1"/>
    <col min="13577" max="13607" width="4.33203125" style="9" customWidth="1"/>
    <col min="13608" max="13608" width="5.109375" style="9" customWidth="1"/>
    <col min="13609" max="13609" width="4.109375" style="9" customWidth="1"/>
    <col min="13610" max="13610" width="4.33203125" style="9" customWidth="1"/>
    <col min="13611" max="13828" width="9.109375" style="9"/>
    <col min="13829" max="13829" width="3.6640625" style="9" customWidth="1"/>
    <col min="13830" max="13831" width="7.6640625" style="9" customWidth="1"/>
    <col min="13832" max="13832" width="22.44140625" style="9" customWidth="1"/>
    <col min="13833" max="13863" width="4.33203125" style="9" customWidth="1"/>
    <col min="13864" max="13864" width="5.109375" style="9" customWidth="1"/>
    <col min="13865" max="13865" width="4.109375" style="9" customWidth="1"/>
    <col min="13866" max="13866" width="4.33203125" style="9" customWidth="1"/>
    <col min="13867" max="14084" width="9.109375" style="9"/>
    <col min="14085" max="14085" width="3.6640625" style="9" customWidth="1"/>
    <col min="14086" max="14087" width="7.6640625" style="9" customWidth="1"/>
    <col min="14088" max="14088" width="22.44140625" style="9" customWidth="1"/>
    <col min="14089" max="14119" width="4.33203125" style="9" customWidth="1"/>
    <col min="14120" max="14120" width="5.109375" style="9" customWidth="1"/>
    <col min="14121" max="14121" width="4.109375" style="9" customWidth="1"/>
    <col min="14122" max="14122" width="4.33203125" style="9" customWidth="1"/>
    <col min="14123" max="14340" width="9.109375" style="9"/>
    <col min="14341" max="14341" width="3.6640625" style="9" customWidth="1"/>
    <col min="14342" max="14343" width="7.6640625" style="9" customWidth="1"/>
    <col min="14344" max="14344" width="22.44140625" style="9" customWidth="1"/>
    <col min="14345" max="14375" width="4.33203125" style="9" customWidth="1"/>
    <col min="14376" max="14376" width="5.109375" style="9" customWidth="1"/>
    <col min="14377" max="14377" width="4.109375" style="9" customWidth="1"/>
    <col min="14378" max="14378" width="4.33203125" style="9" customWidth="1"/>
    <col min="14379" max="14596" width="9.109375" style="9"/>
    <col min="14597" max="14597" width="3.6640625" style="9" customWidth="1"/>
    <col min="14598" max="14599" width="7.6640625" style="9" customWidth="1"/>
    <col min="14600" max="14600" width="22.44140625" style="9" customWidth="1"/>
    <col min="14601" max="14631" width="4.33203125" style="9" customWidth="1"/>
    <col min="14632" max="14632" width="5.109375" style="9" customWidth="1"/>
    <col min="14633" max="14633" width="4.109375" style="9" customWidth="1"/>
    <col min="14634" max="14634" width="4.33203125" style="9" customWidth="1"/>
    <col min="14635" max="14852" width="9.109375" style="9"/>
    <col min="14853" max="14853" width="3.6640625" style="9" customWidth="1"/>
    <col min="14854" max="14855" width="7.6640625" style="9" customWidth="1"/>
    <col min="14856" max="14856" width="22.44140625" style="9" customWidth="1"/>
    <col min="14857" max="14887" width="4.33203125" style="9" customWidth="1"/>
    <col min="14888" max="14888" width="5.109375" style="9" customWidth="1"/>
    <col min="14889" max="14889" width="4.109375" style="9" customWidth="1"/>
    <col min="14890" max="14890" width="4.33203125" style="9" customWidth="1"/>
    <col min="14891" max="15108" width="9.109375" style="9"/>
    <col min="15109" max="15109" width="3.6640625" style="9" customWidth="1"/>
    <col min="15110" max="15111" width="7.6640625" style="9" customWidth="1"/>
    <col min="15112" max="15112" width="22.44140625" style="9" customWidth="1"/>
    <col min="15113" max="15143" width="4.33203125" style="9" customWidth="1"/>
    <col min="15144" max="15144" width="5.109375" style="9" customWidth="1"/>
    <col min="15145" max="15145" width="4.109375" style="9" customWidth="1"/>
    <col min="15146" max="15146" width="4.33203125" style="9" customWidth="1"/>
    <col min="15147" max="15364" width="9.109375" style="9"/>
    <col min="15365" max="15365" width="3.6640625" style="9" customWidth="1"/>
    <col min="15366" max="15367" width="7.6640625" style="9" customWidth="1"/>
    <col min="15368" max="15368" width="22.44140625" style="9" customWidth="1"/>
    <col min="15369" max="15399" width="4.33203125" style="9" customWidth="1"/>
    <col min="15400" max="15400" width="5.109375" style="9" customWidth="1"/>
    <col min="15401" max="15401" width="4.109375" style="9" customWidth="1"/>
    <col min="15402" max="15402" width="4.33203125" style="9" customWidth="1"/>
    <col min="15403" max="15620" width="9.109375" style="9"/>
    <col min="15621" max="15621" width="3.6640625" style="9" customWidth="1"/>
    <col min="15622" max="15623" width="7.6640625" style="9" customWidth="1"/>
    <col min="15624" max="15624" width="22.44140625" style="9" customWidth="1"/>
    <col min="15625" max="15655" width="4.33203125" style="9" customWidth="1"/>
    <col min="15656" max="15656" width="5.109375" style="9" customWidth="1"/>
    <col min="15657" max="15657" width="4.109375" style="9" customWidth="1"/>
    <col min="15658" max="15658" width="4.33203125" style="9" customWidth="1"/>
    <col min="15659" max="15876" width="9.109375" style="9"/>
    <col min="15877" max="15877" width="3.6640625" style="9" customWidth="1"/>
    <col min="15878" max="15879" width="7.6640625" style="9" customWidth="1"/>
    <col min="15880" max="15880" width="22.44140625" style="9" customWidth="1"/>
    <col min="15881" max="15911" width="4.33203125" style="9" customWidth="1"/>
    <col min="15912" max="15912" width="5.109375" style="9" customWidth="1"/>
    <col min="15913" max="15913" width="4.109375" style="9" customWidth="1"/>
    <col min="15914" max="15914" width="4.33203125" style="9" customWidth="1"/>
    <col min="15915" max="16384" width="9.109375" style="9"/>
  </cols>
  <sheetData>
    <row r="1" spans="1:57" s="48" customFormat="1" ht="63.6" customHeight="1" x14ac:dyDescent="0.25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</row>
    <row r="2" spans="1:57" s="48" customFormat="1" ht="21.9" customHeight="1" x14ac:dyDescent="0.25">
      <c r="A2" s="73">
        <f ca="1">+TODAY()</f>
        <v>45637</v>
      </c>
      <c r="B2" s="49"/>
      <c r="C2" s="49"/>
      <c r="D2" s="49"/>
      <c r="E2" s="49"/>
      <c r="F2" s="49"/>
      <c r="G2" s="49"/>
      <c r="H2" s="50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57" s="48" customFormat="1" ht="21.9" customHeight="1" x14ac:dyDescent="0.25">
      <c r="A3" s="51" t="s">
        <v>1011</v>
      </c>
      <c r="B3" s="51"/>
      <c r="C3" s="51"/>
      <c r="D3" s="51"/>
      <c r="E3" s="51"/>
      <c r="F3" s="51"/>
      <c r="G3" s="51"/>
      <c r="H3" s="50"/>
      <c r="I3" s="49"/>
      <c r="J3" s="49"/>
      <c r="K3" s="49"/>
      <c r="L3" s="49"/>
      <c r="M3" s="49"/>
      <c r="N3" s="49"/>
      <c r="O3" s="49"/>
      <c r="P3" s="49"/>
      <c r="Q3" s="49"/>
      <c r="R3" s="49"/>
      <c r="AN3" s="65"/>
      <c r="AO3" s="65"/>
      <c r="AP3" s="65"/>
      <c r="AQ3" s="65"/>
      <c r="AU3" s="134" t="s">
        <v>935</v>
      </c>
      <c r="AV3" s="134"/>
      <c r="AW3" s="134"/>
      <c r="AX3" s="134"/>
      <c r="AY3" s="134"/>
      <c r="AZ3" s="134"/>
      <c r="BA3" s="134"/>
      <c r="BB3" s="134"/>
    </row>
    <row r="4" spans="1:57" ht="16.2" customHeight="1" x14ac:dyDescent="0.25">
      <c r="A4" s="13"/>
      <c r="B4" s="13"/>
      <c r="C4" s="13"/>
      <c r="D4" s="13"/>
      <c r="E4" s="13"/>
      <c r="F4" s="13"/>
      <c r="G4" s="13"/>
      <c r="H4" s="10"/>
      <c r="Q4" s="13"/>
      <c r="R4" s="13"/>
      <c r="T4" s="13"/>
      <c r="U4" s="13"/>
      <c r="V4" s="11"/>
      <c r="W4" s="13"/>
      <c r="X4" s="13"/>
      <c r="Y4" s="13"/>
      <c r="Z4" s="13"/>
      <c r="AA4" s="13"/>
      <c r="AB4" s="13"/>
      <c r="AC4" s="13"/>
      <c r="AE4" s="14"/>
      <c r="AN4" s="13"/>
      <c r="AO4" s="13"/>
      <c r="AP4" s="13"/>
      <c r="AQ4" s="13"/>
      <c r="AU4" s="135" t="s">
        <v>936</v>
      </c>
      <c r="AV4" s="136"/>
      <c r="AW4" s="136"/>
      <c r="AX4" s="137"/>
      <c r="AY4" s="135" t="s">
        <v>937</v>
      </c>
      <c r="AZ4" s="136"/>
      <c r="BA4" s="136"/>
      <c r="BB4" s="137"/>
    </row>
    <row r="5" spans="1:57" ht="30.6" customHeight="1" x14ac:dyDescent="0.25">
      <c r="A5" s="11"/>
      <c r="H5" s="10"/>
      <c r="I5" s="10"/>
      <c r="J5" s="10"/>
      <c r="K5" s="11"/>
      <c r="L5" s="12"/>
      <c r="N5" s="13"/>
      <c r="O5" s="13"/>
      <c r="Q5" s="13"/>
      <c r="R5" s="13"/>
      <c r="T5" s="13"/>
      <c r="U5" s="13"/>
      <c r="V5" s="11"/>
      <c r="W5" s="13"/>
      <c r="X5" s="13"/>
      <c r="Y5" s="13"/>
      <c r="Z5" s="13"/>
      <c r="AA5" s="13"/>
      <c r="AB5" s="13"/>
      <c r="AC5" s="13"/>
      <c r="AE5" s="14"/>
      <c r="AN5" s="13"/>
      <c r="AO5" s="13"/>
      <c r="AP5" s="13"/>
      <c r="AQ5" s="13"/>
      <c r="AU5" s="131">
        <v>45658</v>
      </c>
      <c r="AV5" s="132"/>
      <c r="AW5" s="132"/>
      <c r="AX5" s="133"/>
      <c r="AY5" s="131">
        <v>46022</v>
      </c>
      <c r="AZ5" s="132"/>
      <c r="BA5" s="132"/>
      <c r="BB5" s="133"/>
    </row>
    <row r="6" spans="1:57" ht="6.75" customHeight="1" x14ac:dyDescent="0.25">
      <c r="A6" s="11"/>
      <c r="H6" s="10"/>
      <c r="I6" s="10"/>
      <c r="J6" s="10"/>
      <c r="K6" s="11"/>
      <c r="L6" s="12"/>
      <c r="N6" s="13"/>
      <c r="O6" s="13"/>
      <c r="Q6" s="13"/>
      <c r="R6" s="13"/>
      <c r="T6" s="13"/>
      <c r="U6" s="13"/>
      <c r="V6" s="11"/>
      <c r="W6" s="13"/>
      <c r="X6" s="13"/>
      <c r="Y6" s="13"/>
      <c r="Z6" s="13"/>
      <c r="AA6" s="13"/>
      <c r="AB6" s="13"/>
      <c r="AC6" s="13"/>
      <c r="AE6" s="14"/>
      <c r="AF6" s="15"/>
      <c r="AG6" s="11"/>
    </row>
    <row r="7" spans="1:57" ht="6.75" customHeight="1" x14ac:dyDescent="0.25">
      <c r="A7" s="11"/>
      <c r="H7" s="10"/>
      <c r="I7" s="10"/>
      <c r="J7" s="10"/>
      <c r="K7" s="11"/>
      <c r="L7" s="12"/>
      <c r="N7" s="13"/>
      <c r="O7" s="13"/>
      <c r="Q7" s="13"/>
      <c r="R7" s="13"/>
      <c r="T7" s="13"/>
      <c r="U7" s="13"/>
      <c r="V7" s="11"/>
      <c r="W7" s="13"/>
      <c r="X7" s="13"/>
      <c r="Y7" s="13"/>
      <c r="Z7" s="13"/>
      <c r="AA7" s="13"/>
      <c r="AB7" s="13"/>
      <c r="AC7" s="13"/>
      <c r="AE7" s="14"/>
      <c r="AF7" s="15"/>
      <c r="AG7" s="11"/>
    </row>
    <row r="8" spans="1:57" ht="22.2" customHeight="1" x14ac:dyDescent="0.25">
      <c r="A8" s="92" t="s">
        <v>174</v>
      </c>
      <c r="B8" s="93"/>
      <c r="C8" s="42"/>
      <c r="D8" s="42"/>
      <c r="E8" s="42"/>
      <c r="F8" s="42"/>
      <c r="G8" s="42"/>
      <c r="H8" s="111">
        <v>45658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40" t="s">
        <v>954</v>
      </c>
      <c r="AN8" s="146" t="s">
        <v>953</v>
      </c>
      <c r="AO8" s="148" t="s">
        <v>955</v>
      </c>
      <c r="AP8" s="144" t="s">
        <v>958</v>
      </c>
      <c r="AQ8" s="144"/>
      <c r="AS8" s="86" t="s">
        <v>947</v>
      </c>
      <c r="AU8" s="102" t="s">
        <v>942</v>
      </c>
      <c r="AV8" s="102"/>
      <c r="AW8" s="102"/>
      <c r="AX8" s="102"/>
      <c r="AY8" s="102"/>
      <c r="AZ8" s="102"/>
      <c r="BA8" s="102"/>
      <c r="BB8" s="102"/>
      <c r="BD8" s="86" t="s">
        <v>941</v>
      </c>
      <c r="BE8" s="88"/>
    </row>
    <row r="9" spans="1:57" ht="34.200000000000003" customHeight="1" thickBot="1" x14ac:dyDescent="0.3">
      <c r="A9" s="138" t="s">
        <v>948</v>
      </c>
      <c r="B9" s="138" t="s">
        <v>947</v>
      </c>
      <c r="C9" s="138" t="s">
        <v>959</v>
      </c>
      <c r="D9" s="138" t="s">
        <v>949</v>
      </c>
      <c r="E9" s="138"/>
      <c r="F9" s="142" t="s">
        <v>952</v>
      </c>
      <c r="G9" s="142" t="s">
        <v>193</v>
      </c>
      <c r="H9" s="45">
        <v>1</v>
      </c>
      <c r="I9" s="45">
        <v>2</v>
      </c>
      <c r="J9" s="45">
        <v>3</v>
      </c>
      <c r="K9" s="45">
        <v>4</v>
      </c>
      <c r="L9" s="45">
        <v>5</v>
      </c>
      <c r="M9" s="45">
        <v>6</v>
      </c>
      <c r="N9" s="45">
        <v>7</v>
      </c>
      <c r="O9" s="45">
        <v>8</v>
      </c>
      <c r="P9" s="45">
        <v>9</v>
      </c>
      <c r="Q9" s="45">
        <v>10</v>
      </c>
      <c r="R9" s="45">
        <v>11</v>
      </c>
      <c r="S9" s="45">
        <v>12</v>
      </c>
      <c r="T9" s="45">
        <v>13</v>
      </c>
      <c r="U9" s="45">
        <v>14</v>
      </c>
      <c r="V9" s="45">
        <v>15</v>
      </c>
      <c r="W9" s="45">
        <v>16</v>
      </c>
      <c r="X9" s="45">
        <v>17</v>
      </c>
      <c r="Y9" s="45">
        <v>18</v>
      </c>
      <c r="Z9" s="45">
        <v>19</v>
      </c>
      <c r="AA9" s="45">
        <v>20</v>
      </c>
      <c r="AB9" s="45">
        <v>21</v>
      </c>
      <c r="AC9" s="45">
        <v>22</v>
      </c>
      <c r="AD9" s="45">
        <v>23</v>
      </c>
      <c r="AE9" s="45">
        <v>24</v>
      </c>
      <c r="AF9" s="45">
        <v>25</v>
      </c>
      <c r="AG9" s="45">
        <v>26</v>
      </c>
      <c r="AH9" s="45">
        <v>27</v>
      </c>
      <c r="AI9" s="45">
        <v>28</v>
      </c>
      <c r="AJ9" s="45">
        <v>29</v>
      </c>
      <c r="AK9" s="45">
        <v>30</v>
      </c>
      <c r="AL9" s="45" t="s">
        <v>177</v>
      </c>
      <c r="AM9" s="140"/>
      <c r="AN9" s="146"/>
      <c r="AO9" s="148"/>
      <c r="AP9" s="150" t="s">
        <v>956</v>
      </c>
      <c r="AQ9" s="152" t="s">
        <v>957</v>
      </c>
      <c r="AS9" s="86"/>
      <c r="AU9" s="103" t="s">
        <v>943</v>
      </c>
      <c r="AV9" s="104"/>
      <c r="AW9" s="105" t="s">
        <v>944</v>
      </c>
      <c r="AX9" s="106"/>
      <c r="AY9" s="107" t="s">
        <v>945</v>
      </c>
      <c r="AZ9" s="108"/>
      <c r="BA9" s="109" t="s">
        <v>946</v>
      </c>
      <c r="BB9" s="110"/>
      <c r="BD9" s="86"/>
      <c r="BE9" s="88"/>
    </row>
    <row r="10" spans="1:57" ht="15.75" customHeight="1" thickBot="1" x14ac:dyDescent="0.3">
      <c r="A10" s="139"/>
      <c r="B10" s="139"/>
      <c r="C10" s="145"/>
      <c r="D10" s="64" t="s">
        <v>950</v>
      </c>
      <c r="E10" s="64" t="s">
        <v>951</v>
      </c>
      <c r="F10" s="143"/>
      <c r="G10" s="143"/>
      <c r="H10" s="28" t="s">
        <v>24</v>
      </c>
      <c r="I10" s="28" t="s">
        <v>180</v>
      </c>
      <c r="J10" s="28" t="s">
        <v>181</v>
      </c>
      <c r="K10" s="28" t="s">
        <v>182</v>
      </c>
      <c r="L10" s="28" t="s">
        <v>183</v>
      </c>
      <c r="M10" s="28" t="s">
        <v>179</v>
      </c>
      <c r="N10" s="28" t="s">
        <v>24</v>
      </c>
      <c r="O10" s="28" t="s">
        <v>24</v>
      </c>
      <c r="P10" s="28" t="s">
        <v>180</v>
      </c>
      <c r="Q10" s="28" t="s">
        <v>181</v>
      </c>
      <c r="R10" s="28" t="s">
        <v>182</v>
      </c>
      <c r="S10" s="28" t="s">
        <v>183</v>
      </c>
      <c r="T10" s="28" t="s">
        <v>179</v>
      </c>
      <c r="U10" s="28" t="s">
        <v>24</v>
      </c>
      <c r="V10" s="28" t="s">
        <v>24</v>
      </c>
      <c r="W10" s="28" t="s">
        <v>180</v>
      </c>
      <c r="X10" s="28" t="s">
        <v>181</v>
      </c>
      <c r="Y10" s="28" t="s">
        <v>182</v>
      </c>
      <c r="Z10" s="28" t="s">
        <v>183</v>
      </c>
      <c r="AA10" s="28" t="s">
        <v>179</v>
      </c>
      <c r="AB10" s="28" t="s">
        <v>24</v>
      </c>
      <c r="AC10" s="28" t="s">
        <v>24</v>
      </c>
      <c r="AD10" s="28" t="s">
        <v>180</v>
      </c>
      <c r="AE10" s="28" t="s">
        <v>181</v>
      </c>
      <c r="AF10" s="28" t="s">
        <v>182</v>
      </c>
      <c r="AG10" s="28" t="s">
        <v>183</v>
      </c>
      <c r="AH10" s="28" t="s">
        <v>179</v>
      </c>
      <c r="AI10" s="28" t="s">
        <v>24</v>
      </c>
      <c r="AJ10" s="28" t="s">
        <v>24</v>
      </c>
      <c r="AK10" s="28" t="s">
        <v>180</v>
      </c>
      <c r="AL10" s="28" t="s">
        <v>181</v>
      </c>
      <c r="AM10" s="141"/>
      <c r="AN10" s="147"/>
      <c r="AO10" s="149"/>
      <c r="AP10" s="151"/>
      <c r="AQ10" s="153"/>
      <c r="AS10" s="87"/>
      <c r="AU10" s="103"/>
      <c r="AV10" s="104"/>
      <c r="AW10" s="105"/>
      <c r="AX10" s="106"/>
      <c r="AY10" s="107"/>
      <c r="AZ10" s="108"/>
      <c r="BA10" s="109"/>
      <c r="BB10" s="110"/>
      <c r="BD10" s="87"/>
      <c r="BE10" s="89"/>
    </row>
    <row r="11" spans="1:57" ht="15" customHeight="1" thickBot="1" x14ac:dyDescent="0.3">
      <c r="A11" s="68">
        <v>1</v>
      </c>
      <c r="B11" s="67" t="s">
        <v>965</v>
      </c>
      <c r="C11" s="66" t="s">
        <v>960</v>
      </c>
      <c r="D11" s="66" t="s">
        <v>213</v>
      </c>
      <c r="E11" s="69" t="s">
        <v>197</v>
      </c>
      <c r="F11" s="54"/>
      <c r="G11" s="54"/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55">
        <f ca="1">+AM11+AM56+AM101</f>
        <v>0</v>
      </c>
      <c r="AN11" s="55">
        <f ca="1">F11+G11-AM11</f>
        <v>0</v>
      </c>
      <c r="AO11" s="72"/>
      <c r="AP11" s="74" t="str">
        <f>IF(AO11="","",IF($A$2&lt;=AO11,IF((AO11-$A$2)&lt;=90,"ALERTA","A TIEMPO"),"CADUCADO"))</f>
        <v/>
      </c>
      <c r="AQ11" s="74" t="str">
        <f>IF(AO11="","",AO11-$A$2)</f>
        <v/>
      </c>
      <c r="AS11" s="67" t="s">
        <v>965</v>
      </c>
      <c r="AU11" s="30">
        <f ca="1">+AM11+AM56+AM101</f>
        <v>0</v>
      </c>
      <c r="AV11" s="62">
        <f ca="1">AU11/$AU$51</f>
        <v>0</v>
      </c>
      <c r="AW11" s="30">
        <f>+AM146+AM191+AM236</f>
        <v>0</v>
      </c>
      <c r="AX11" s="62" t="e">
        <f>AW11/$AW$51</f>
        <v>#DIV/0!</v>
      </c>
      <c r="AY11" s="30">
        <f>+AM281+AM326+AM371</f>
        <v>0</v>
      </c>
      <c r="AZ11" s="62" t="e">
        <f>AY11/$AY$51</f>
        <v>#DIV/0!</v>
      </c>
      <c r="BA11" s="30">
        <f>+AM416+AM461+AM506</f>
        <v>0</v>
      </c>
      <c r="BB11" s="62" t="e">
        <f>BA11/$BA$51</f>
        <v>#DIV/0!</v>
      </c>
      <c r="BD11" s="30">
        <f ca="1">+AU11+AW11+AY11+BA11</f>
        <v>0</v>
      </c>
      <c r="BE11" s="62" t="e">
        <f ca="1">BD11/$BD$51</f>
        <v>#REF!</v>
      </c>
    </row>
    <row r="12" spans="1:57" ht="15" customHeight="1" thickBot="1" x14ac:dyDescent="0.3">
      <c r="A12" s="68">
        <v>2</v>
      </c>
      <c r="B12" s="67" t="s">
        <v>965</v>
      </c>
      <c r="C12" s="66" t="s">
        <v>960</v>
      </c>
      <c r="D12" s="66" t="s">
        <v>224</v>
      </c>
      <c r="E12" s="71">
        <v>0.01</v>
      </c>
      <c r="F12" s="54"/>
      <c r="G12" s="54"/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  <c r="AI12" s="30">
        <v>0</v>
      </c>
      <c r="AJ12" s="30">
        <v>0</v>
      </c>
      <c r="AK12" s="30">
        <v>0</v>
      </c>
      <c r="AL12" s="30">
        <v>0</v>
      </c>
      <c r="AM12" s="55">
        <f t="shared" ref="AM12:AM50" si="0">SUM(H12:AL12)</f>
        <v>0</v>
      </c>
      <c r="AN12" s="55">
        <f t="shared" ref="AN12:AN50" si="1">F12+G12-AM12</f>
        <v>0</v>
      </c>
      <c r="AO12" s="72"/>
      <c r="AP12" s="74" t="str">
        <f t="shared" ref="AP12:AP50" si="2">IF(AO12="","",IF($A$2&lt;=AO12,IF((AO12-$A$2)&lt;=90,"ALERTA","A TIEMPO"),"CADUCADO"))</f>
        <v/>
      </c>
      <c r="AQ12" s="74" t="str">
        <f t="shared" ref="AQ12:AQ50" si="3">IF(AO12="","",AO12-$A$2)</f>
        <v/>
      </c>
      <c r="AS12" s="67" t="s">
        <v>965</v>
      </c>
      <c r="AU12" s="30">
        <f t="shared" ref="AU12:AU50" si="4">+AM12+AM57+AM102</f>
        <v>0</v>
      </c>
      <c r="AV12" s="62">
        <f t="shared" ref="AV12:AV50" ca="1" si="5">AU12/$AU$51</f>
        <v>0</v>
      </c>
      <c r="AW12" s="30">
        <f t="shared" ref="AW12:AW50" si="6">+AM147+AM192+AM237</f>
        <v>0</v>
      </c>
      <c r="AX12" s="62" t="e">
        <f t="shared" ref="AX12:AX50" si="7">AW12/$AW$51</f>
        <v>#DIV/0!</v>
      </c>
      <c r="AY12" s="30">
        <f t="shared" ref="AY12:AY50" si="8">+AM282+AM327+AM372</f>
        <v>0</v>
      </c>
      <c r="AZ12" s="62" t="e">
        <f t="shared" ref="AZ12:AZ50" si="9">AY12/$AY$51</f>
        <v>#DIV/0!</v>
      </c>
      <c r="BA12" s="30">
        <f t="shared" ref="BA12:BA50" si="10">+AM417+AM462+AM507</f>
        <v>0</v>
      </c>
      <c r="BB12" s="62" t="e">
        <f t="shared" ref="BB12:BB50" si="11">BA12/$BA$51</f>
        <v>#DIV/0!</v>
      </c>
      <c r="BD12" s="30">
        <f t="shared" ref="BD12:BD50" si="12">+AU12+AW12+AY12+BA12</f>
        <v>0</v>
      </c>
      <c r="BE12" s="62" t="e">
        <f t="shared" ref="BE12:BE50" ca="1" si="13">BD12/$BD$51</f>
        <v>#REF!</v>
      </c>
    </row>
    <row r="13" spans="1:57" ht="15" customHeight="1" thickBot="1" x14ac:dyDescent="0.3">
      <c r="A13" s="68">
        <v>3</v>
      </c>
      <c r="B13" s="67" t="s">
        <v>211</v>
      </c>
      <c r="C13" s="66" t="s">
        <v>960</v>
      </c>
      <c r="D13" s="66" t="s">
        <v>198</v>
      </c>
      <c r="E13" s="69" t="s">
        <v>964</v>
      </c>
      <c r="F13" s="54"/>
      <c r="G13" s="54"/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55">
        <f t="shared" si="0"/>
        <v>0</v>
      </c>
      <c r="AN13" s="55">
        <f t="shared" si="1"/>
        <v>0</v>
      </c>
      <c r="AO13" s="72"/>
      <c r="AP13" s="74" t="str">
        <f t="shared" si="2"/>
        <v/>
      </c>
      <c r="AQ13" s="74" t="str">
        <f t="shared" si="3"/>
        <v/>
      </c>
      <c r="AS13" s="67" t="s">
        <v>211</v>
      </c>
      <c r="AU13" s="30">
        <f t="shared" si="4"/>
        <v>0</v>
      </c>
      <c r="AV13" s="62">
        <f t="shared" ca="1" si="5"/>
        <v>0</v>
      </c>
      <c r="AW13" s="30">
        <f t="shared" si="6"/>
        <v>0</v>
      </c>
      <c r="AX13" s="62" t="e">
        <f t="shared" si="7"/>
        <v>#DIV/0!</v>
      </c>
      <c r="AY13" s="30">
        <f t="shared" si="8"/>
        <v>0</v>
      </c>
      <c r="AZ13" s="62" t="e">
        <f t="shared" si="9"/>
        <v>#DIV/0!</v>
      </c>
      <c r="BA13" s="30">
        <f t="shared" si="10"/>
        <v>0</v>
      </c>
      <c r="BB13" s="62" t="e">
        <f t="shared" si="11"/>
        <v>#DIV/0!</v>
      </c>
      <c r="BD13" s="30">
        <f t="shared" si="12"/>
        <v>0</v>
      </c>
      <c r="BE13" s="62" t="e">
        <f t="shared" ca="1" si="13"/>
        <v>#REF!</v>
      </c>
    </row>
    <row r="14" spans="1:57" ht="15" customHeight="1" thickBot="1" x14ac:dyDescent="0.3">
      <c r="A14" s="68">
        <v>4</v>
      </c>
      <c r="B14" s="67" t="s">
        <v>985</v>
      </c>
      <c r="C14" s="66" t="s">
        <v>960</v>
      </c>
      <c r="D14" s="66" t="s">
        <v>198</v>
      </c>
      <c r="E14" s="70" t="s">
        <v>986</v>
      </c>
      <c r="F14" s="54"/>
      <c r="G14" s="54"/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55">
        <f t="shared" si="0"/>
        <v>0</v>
      </c>
      <c r="AN14" s="55">
        <f t="shared" si="1"/>
        <v>0</v>
      </c>
      <c r="AO14" s="72"/>
      <c r="AP14" s="74" t="str">
        <f t="shared" si="2"/>
        <v/>
      </c>
      <c r="AQ14" s="74" t="str">
        <f t="shared" si="3"/>
        <v/>
      </c>
      <c r="AS14" s="67" t="s">
        <v>985</v>
      </c>
      <c r="AU14" s="30">
        <f t="shared" si="4"/>
        <v>0</v>
      </c>
      <c r="AV14" s="62">
        <f t="shared" ca="1" si="5"/>
        <v>0</v>
      </c>
      <c r="AW14" s="30">
        <f t="shared" si="6"/>
        <v>0</v>
      </c>
      <c r="AX14" s="62" t="e">
        <f t="shared" si="7"/>
        <v>#DIV/0!</v>
      </c>
      <c r="AY14" s="30">
        <f t="shared" si="8"/>
        <v>0</v>
      </c>
      <c r="AZ14" s="62" t="e">
        <f t="shared" si="9"/>
        <v>#DIV/0!</v>
      </c>
      <c r="BA14" s="30">
        <f t="shared" si="10"/>
        <v>0</v>
      </c>
      <c r="BB14" s="62" t="e">
        <f t="shared" si="11"/>
        <v>#DIV/0!</v>
      </c>
      <c r="BD14" s="30">
        <f t="shared" si="12"/>
        <v>0</v>
      </c>
      <c r="BE14" s="62" t="e">
        <f t="shared" ca="1" si="13"/>
        <v>#REF!</v>
      </c>
    </row>
    <row r="15" spans="1:57" ht="15" customHeight="1" thickBot="1" x14ac:dyDescent="0.3">
      <c r="A15" s="68">
        <v>4</v>
      </c>
      <c r="B15" s="67" t="s">
        <v>963</v>
      </c>
      <c r="C15" s="66" t="s">
        <v>960</v>
      </c>
      <c r="D15" s="66" t="s">
        <v>213</v>
      </c>
      <c r="E15" s="70" t="s">
        <v>13</v>
      </c>
      <c r="F15" s="54"/>
      <c r="G15" s="54"/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55">
        <f t="shared" si="0"/>
        <v>0</v>
      </c>
      <c r="AN15" s="55">
        <f t="shared" si="1"/>
        <v>0</v>
      </c>
      <c r="AO15" s="72"/>
      <c r="AP15" s="74" t="str">
        <f t="shared" si="2"/>
        <v/>
      </c>
      <c r="AQ15" s="74" t="str">
        <f t="shared" si="3"/>
        <v/>
      </c>
      <c r="AS15" s="67" t="s">
        <v>963</v>
      </c>
      <c r="AU15" s="30">
        <f t="shared" si="4"/>
        <v>0</v>
      </c>
      <c r="AV15" s="62">
        <f t="shared" ca="1" si="5"/>
        <v>0</v>
      </c>
      <c r="AW15" s="30">
        <f t="shared" si="6"/>
        <v>0</v>
      </c>
      <c r="AX15" s="62" t="e">
        <f t="shared" si="7"/>
        <v>#DIV/0!</v>
      </c>
      <c r="AY15" s="30">
        <f t="shared" si="8"/>
        <v>0</v>
      </c>
      <c r="AZ15" s="62" t="e">
        <f t="shared" si="9"/>
        <v>#DIV/0!</v>
      </c>
      <c r="BA15" s="30">
        <f t="shared" si="10"/>
        <v>0</v>
      </c>
      <c r="BB15" s="62" t="e">
        <f t="shared" si="11"/>
        <v>#DIV/0!</v>
      </c>
      <c r="BD15" s="30">
        <f t="shared" si="12"/>
        <v>0</v>
      </c>
      <c r="BE15" s="62" t="e">
        <f t="shared" ca="1" si="13"/>
        <v>#REF!</v>
      </c>
    </row>
    <row r="16" spans="1:57" ht="15" customHeight="1" thickBot="1" x14ac:dyDescent="0.3">
      <c r="A16" s="68">
        <v>5</v>
      </c>
      <c r="B16" s="67" t="s">
        <v>228</v>
      </c>
      <c r="C16" s="66" t="s">
        <v>960</v>
      </c>
      <c r="D16" s="66" t="s">
        <v>213</v>
      </c>
      <c r="E16" s="69" t="s">
        <v>229</v>
      </c>
      <c r="F16" s="54"/>
      <c r="G16" s="54"/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55">
        <f t="shared" si="0"/>
        <v>0</v>
      </c>
      <c r="AN16" s="55">
        <f t="shared" si="1"/>
        <v>0</v>
      </c>
      <c r="AO16" s="72"/>
      <c r="AP16" s="74" t="str">
        <f t="shared" si="2"/>
        <v/>
      </c>
      <c r="AQ16" s="74" t="str">
        <f t="shared" si="3"/>
        <v/>
      </c>
      <c r="AS16" s="67" t="s">
        <v>228</v>
      </c>
      <c r="AU16" s="30">
        <f t="shared" si="4"/>
        <v>0</v>
      </c>
      <c r="AV16" s="62">
        <f t="shared" ca="1" si="5"/>
        <v>0</v>
      </c>
      <c r="AW16" s="30">
        <f t="shared" si="6"/>
        <v>0</v>
      </c>
      <c r="AX16" s="62" t="e">
        <f t="shared" si="7"/>
        <v>#DIV/0!</v>
      </c>
      <c r="AY16" s="30">
        <f t="shared" si="8"/>
        <v>0</v>
      </c>
      <c r="AZ16" s="62" t="e">
        <f t="shared" si="9"/>
        <v>#DIV/0!</v>
      </c>
      <c r="BA16" s="30">
        <f t="shared" si="10"/>
        <v>0</v>
      </c>
      <c r="BB16" s="62" t="e">
        <f t="shared" si="11"/>
        <v>#DIV/0!</v>
      </c>
      <c r="BD16" s="30">
        <f t="shared" si="12"/>
        <v>0</v>
      </c>
      <c r="BE16" s="62" t="e">
        <f t="shared" ca="1" si="13"/>
        <v>#REF!</v>
      </c>
    </row>
    <row r="17" spans="1:57" ht="15" customHeight="1" thickBot="1" x14ac:dyDescent="0.3">
      <c r="A17" s="68">
        <v>6</v>
      </c>
      <c r="B17" s="67" t="s">
        <v>968</v>
      </c>
      <c r="C17" s="66" t="s">
        <v>960</v>
      </c>
      <c r="D17" s="66" t="s">
        <v>198</v>
      </c>
      <c r="E17" s="69" t="s">
        <v>199</v>
      </c>
      <c r="F17" s="54"/>
      <c r="G17" s="54"/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55">
        <f t="shared" si="0"/>
        <v>0</v>
      </c>
      <c r="AN17" s="55">
        <f t="shared" si="1"/>
        <v>0</v>
      </c>
      <c r="AO17" s="72"/>
      <c r="AP17" s="74" t="str">
        <f t="shared" si="2"/>
        <v/>
      </c>
      <c r="AQ17" s="74" t="str">
        <f t="shared" si="3"/>
        <v/>
      </c>
      <c r="AS17" s="67" t="s">
        <v>968</v>
      </c>
      <c r="AU17" s="30">
        <f t="shared" si="4"/>
        <v>0</v>
      </c>
      <c r="AV17" s="62">
        <f t="shared" ca="1" si="5"/>
        <v>0</v>
      </c>
      <c r="AW17" s="30">
        <f t="shared" si="6"/>
        <v>0</v>
      </c>
      <c r="AX17" s="62" t="e">
        <f t="shared" si="7"/>
        <v>#DIV/0!</v>
      </c>
      <c r="AY17" s="30">
        <f t="shared" si="8"/>
        <v>0</v>
      </c>
      <c r="AZ17" s="62" t="e">
        <f t="shared" si="9"/>
        <v>#DIV/0!</v>
      </c>
      <c r="BA17" s="30">
        <f t="shared" si="10"/>
        <v>0</v>
      </c>
      <c r="BB17" s="62" t="e">
        <f t="shared" si="11"/>
        <v>#DIV/0!</v>
      </c>
      <c r="BD17" s="30">
        <f t="shared" si="12"/>
        <v>0</v>
      </c>
      <c r="BE17" s="62" t="e">
        <f t="shared" ca="1" si="13"/>
        <v>#REF!</v>
      </c>
    </row>
    <row r="18" spans="1:57" ht="15" customHeight="1" thickBot="1" x14ac:dyDescent="0.3">
      <c r="A18" s="68">
        <v>7</v>
      </c>
      <c r="B18" s="67" t="s">
        <v>220</v>
      </c>
      <c r="C18" s="66" t="s">
        <v>960</v>
      </c>
      <c r="D18" s="66" t="s">
        <v>198</v>
      </c>
      <c r="E18" s="69" t="s">
        <v>195</v>
      </c>
      <c r="F18" s="54"/>
      <c r="G18" s="54"/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55">
        <f t="shared" si="0"/>
        <v>0</v>
      </c>
      <c r="AN18" s="55">
        <f t="shared" si="1"/>
        <v>0</v>
      </c>
      <c r="AO18" s="72"/>
      <c r="AP18" s="74" t="str">
        <f t="shared" si="2"/>
        <v/>
      </c>
      <c r="AQ18" s="74" t="str">
        <f t="shared" si="3"/>
        <v/>
      </c>
      <c r="AS18" s="67" t="s">
        <v>220</v>
      </c>
      <c r="AU18" s="30">
        <f t="shared" si="4"/>
        <v>0</v>
      </c>
      <c r="AV18" s="62">
        <f t="shared" ca="1" si="5"/>
        <v>0</v>
      </c>
      <c r="AW18" s="30">
        <f t="shared" si="6"/>
        <v>0</v>
      </c>
      <c r="AX18" s="62" t="e">
        <f t="shared" si="7"/>
        <v>#DIV/0!</v>
      </c>
      <c r="AY18" s="30">
        <f t="shared" si="8"/>
        <v>0</v>
      </c>
      <c r="AZ18" s="62" t="e">
        <f t="shared" si="9"/>
        <v>#DIV/0!</v>
      </c>
      <c r="BA18" s="30">
        <f t="shared" si="10"/>
        <v>0</v>
      </c>
      <c r="BB18" s="62" t="e">
        <f t="shared" si="11"/>
        <v>#DIV/0!</v>
      </c>
      <c r="BD18" s="30">
        <f t="shared" si="12"/>
        <v>0</v>
      </c>
      <c r="BE18" s="62" t="e">
        <f t="shared" ca="1" si="13"/>
        <v>#REF!</v>
      </c>
    </row>
    <row r="19" spans="1:57" ht="15" customHeight="1" thickBot="1" x14ac:dyDescent="0.3">
      <c r="A19" s="68">
        <v>8</v>
      </c>
      <c r="B19" s="67" t="s">
        <v>962</v>
      </c>
      <c r="C19" s="66" t="s">
        <v>960</v>
      </c>
      <c r="D19" s="66" t="s">
        <v>198</v>
      </c>
      <c r="E19" s="69" t="s">
        <v>961</v>
      </c>
      <c r="F19" s="54"/>
      <c r="G19" s="54"/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55">
        <f t="shared" si="0"/>
        <v>0</v>
      </c>
      <c r="AN19" s="55">
        <f t="shared" si="1"/>
        <v>0</v>
      </c>
      <c r="AO19" s="72"/>
      <c r="AP19" s="74" t="str">
        <f t="shared" si="2"/>
        <v/>
      </c>
      <c r="AQ19" s="74" t="str">
        <f t="shared" si="3"/>
        <v/>
      </c>
      <c r="AS19" s="67" t="s">
        <v>962</v>
      </c>
      <c r="AU19" s="30">
        <f t="shared" si="4"/>
        <v>0</v>
      </c>
      <c r="AV19" s="62">
        <f t="shared" ca="1" si="5"/>
        <v>0</v>
      </c>
      <c r="AW19" s="30">
        <f t="shared" si="6"/>
        <v>0</v>
      </c>
      <c r="AX19" s="62" t="e">
        <f t="shared" si="7"/>
        <v>#DIV/0!</v>
      </c>
      <c r="AY19" s="30">
        <f t="shared" si="8"/>
        <v>0</v>
      </c>
      <c r="AZ19" s="62" t="e">
        <f t="shared" si="9"/>
        <v>#DIV/0!</v>
      </c>
      <c r="BA19" s="30">
        <f t="shared" si="10"/>
        <v>0</v>
      </c>
      <c r="BB19" s="62" t="e">
        <f t="shared" si="11"/>
        <v>#DIV/0!</v>
      </c>
      <c r="BD19" s="30">
        <f t="shared" si="12"/>
        <v>0</v>
      </c>
      <c r="BE19" s="62" t="e">
        <f t="shared" ca="1" si="13"/>
        <v>#REF!</v>
      </c>
    </row>
    <row r="20" spans="1:57" ht="15" customHeight="1" thickBot="1" x14ac:dyDescent="0.3">
      <c r="A20" s="68">
        <v>9</v>
      </c>
      <c r="B20" s="67" t="s">
        <v>966</v>
      </c>
      <c r="C20" s="66" t="s">
        <v>960</v>
      </c>
      <c r="D20" s="66" t="s">
        <v>201</v>
      </c>
      <c r="E20" s="69" t="s">
        <v>967</v>
      </c>
      <c r="F20" s="54"/>
      <c r="G20" s="54"/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55">
        <f t="shared" si="0"/>
        <v>0</v>
      </c>
      <c r="AN20" s="55">
        <f t="shared" si="1"/>
        <v>0</v>
      </c>
      <c r="AO20" s="72"/>
      <c r="AP20" s="74" t="str">
        <f t="shared" si="2"/>
        <v/>
      </c>
      <c r="AQ20" s="74" t="str">
        <f t="shared" si="3"/>
        <v/>
      </c>
      <c r="AS20" s="67" t="s">
        <v>966</v>
      </c>
      <c r="AU20" s="30">
        <f t="shared" si="4"/>
        <v>0</v>
      </c>
      <c r="AV20" s="62">
        <f t="shared" ca="1" si="5"/>
        <v>0</v>
      </c>
      <c r="AW20" s="30">
        <f t="shared" si="6"/>
        <v>0</v>
      </c>
      <c r="AX20" s="62" t="e">
        <f t="shared" si="7"/>
        <v>#DIV/0!</v>
      </c>
      <c r="AY20" s="30">
        <f t="shared" si="8"/>
        <v>0</v>
      </c>
      <c r="AZ20" s="62" t="e">
        <f t="shared" si="9"/>
        <v>#DIV/0!</v>
      </c>
      <c r="BA20" s="30">
        <f t="shared" si="10"/>
        <v>0</v>
      </c>
      <c r="BB20" s="62" t="e">
        <f t="shared" si="11"/>
        <v>#DIV/0!</v>
      </c>
      <c r="BD20" s="30">
        <f t="shared" si="12"/>
        <v>0</v>
      </c>
      <c r="BE20" s="62" t="e">
        <f t="shared" ca="1" si="13"/>
        <v>#REF!</v>
      </c>
    </row>
    <row r="21" spans="1:57" ht="15" customHeight="1" thickBot="1" x14ac:dyDescent="0.3">
      <c r="A21" s="68">
        <v>10</v>
      </c>
      <c r="B21" s="67" t="s">
        <v>194</v>
      </c>
      <c r="C21" s="66" t="s">
        <v>969</v>
      </c>
      <c r="D21" s="66" t="s">
        <v>198</v>
      </c>
      <c r="E21" s="69" t="s">
        <v>195</v>
      </c>
      <c r="F21" s="54"/>
      <c r="G21" s="54"/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55">
        <f t="shared" si="0"/>
        <v>0</v>
      </c>
      <c r="AN21" s="55">
        <f t="shared" si="1"/>
        <v>0</v>
      </c>
      <c r="AO21" s="72"/>
      <c r="AP21" s="74" t="str">
        <f t="shared" si="2"/>
        <v/>
      </c>
      <c r="AQ21" s="74" t="str">
        <f t="shared" si="3"/>
        <v/>
      </c>
      <c r="AS21" s="67" t="s">
        <v>194</v>
      </c>
      <c r="AU21" s="30">
        <f t="shared" si="4"/>
        <v>0</v>
      </c>
      <c r="AV21" s="62">
        <f t="shared" ca="1" si="5"/>
        <v>0</v>
      </c>
      <c r="AW21" s="30">
        <f t="shared" si="6"/>
        <v>0</v>
      </c>
      <c r="AX21" s="62" t="e">
        <f t="shared" si="7"/>
        <v>#DIV/0!</v>
      </c>
      <c r="AY21" s="30">
        <f t="shared" si="8"/>
        <v>0</v>
      </c>
      <c r="AZ21" s="62" t="e">
        <f t="shared" si="9"/>
        <v>#DIV/0!</v>
      </c>
      <c r="BA21" s="30">
        <f t="shared" si="10"/>
        <v>0</v>
      </c>
      <c r="BB21" s="62" t="e">
        <f t="shared" si="11"/>
        <v>#DIV/0!</v>
      </c>
      <c r="BD21" s="30">
        <f t="shared" si="12"/>
        <v>0</v>
      </c>
      <c r="BE21" s="62" t="e">
        <f t="shared" ca="1" si="13"/>
        <v>#REF!</v>
      </c>
    </row>
    <row r="22" spans="1:57" ht="15" customHeight="1" thickBot="1" x14ac:dyDescent="0.3">
      <c r="A22" s="68">
        <v>11</v>
      </c>
      <c r="B22" s="67" t="s">
        <v>200</v>
      </c>
      <c r="C22" s="66" t="s">
        <v>969</v>
      </c>
      <c r="D22" s="66" t="s">
        <v>198</v>
      </c>
      <c r="E22" s="69" t="s">
        <v>970</v>
      </c>
      <c r="F22" s="54"/>
      <c r="G22" s="54"/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55">
        <f t="shared" si="0"/>
        <v>0</v>
      </c>
      <c r="AN22" s="55">
        <f t="shared" si="1"/>
        <v>0</v>
      </c>
      <c r="AO22" s="72"/>
      <c r="AP22" s="74" t="str">
        <f t="shared" si="2"/>
        <v/>
      </c>
      <c r="AQ22" s="74" t="str">
        <f t="shared" si="3"/>
        <v/>
      </c>
      <c r="AS22" s="67" t="s">
        <v>200</v>
      </c>
      <c r="AU22" s="30">
        <f t="shared" si="4"/>
        <v>0</v>
      </c>
      <c r="AV22" s="62">
        <f t="shared" ca="1" si="5"/>
        <v>0</v>
      </c>
      <c r="AW22" s="30">
        <f t="shared" si="6"/>
        <v>0</v>
      </c>
      <c r="AX22" s="62" t="e">
        <f t="shared" si="7"/>
        <v>#DIV/0!</v>
      </c>
      <c r="AY22" s="30">
        <f t="shared" si="8"/>
        <v>0</v>
      </c>
      <c r="AZ22" s="62" t="e">
        <f t="shared" si="9"/>
        <v>#DIV/0!</v>
      </c>
      <c r="BA22" s="30">
        <f t="shared" si="10"/>
        <v>0</v>
      </c>
      <c r="BB22" s="62" t="e">
        <f t="shared" si="11"/>
        <v>#DIV/0!</v>
      </c>
      <c r="BD22" s="30">
        <f t="shared" si="12"/>
        <v>0</v>
      </c>
      <c r="BE22" s="62" t="e">
        <f t="shared" ca="1" si="13"/>
        <v>#REF!</v>
      </c>
    </row>
    <row r="23" spans="1:57" ht="15" customHeight="1" thickBot="1" x14ac:dyDescent="0.3">
      <c r="A23" s="68">
        <v>12</v>
      </c>
      <c r="B23" s="67" t="s">
        <v>972</v>
      </c>
      <c r="C23" s="69" t="s">
        <v>971</v>
      </c>
      <c r="D23" s="66" t="s">
        <v>213</v>
      </c>
      <c r="E23" s="69" t="s">
        <v>203</v>
      </c>
      <c r="F23" s="54"/>
      <c r="G23" s="54"/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55">
        <f t="shared" si="0"/>
        <v>0</v>
      </c>
      <c r="AN23" s="55">
        <f t="shared" si="1"/>
        <v>0</v>
      </c>
      <c r="AO23" s="72"/>
      <c r="AP23" s="74" t="str">
        <f t="shared" si="2"/>
        <v/>
      </c>
      <c r="AQ23" s="74" t="str">
        <f t="shared" si="3"/>
        <v/>
      </c>
      <c r="AS23" s="67" t="s">
        <v>972</v>
      </c>
      <c r="AU23" s="30">
        <f t="shared" si="4"/>
        <v>0</v>
      </c>
      <c r="AV23" s="62">
        <f t="shared" ca="1" si="5"/>
        <v>0</v>
      </c>
      <c r="AW23" s="30">
        <f t="shared" si="6"/>
        <v>0</v>
      </c>
      <c r="AX23" s="62" t="e">
        <f t="shared" si="7"/>
        <v>#DIV/0!</v>
      </c>
      <c r="AY23" s="30">
        <f t="shared" si="8"/>
        <v>0</v>
      </c>
      <c r="AZ23" s="62" t="e">
        <f t="shared" si="9"/>
        <v>#DIV/0!</v>
      </c>
      <c r="BA23" s="30">
        <f t="shared" si="10"/>
        <v>0</v>
      </c>
      <c r="BB23" s="62" t="e">
        <f t="shared" si="11"/>
        <v>#DIV/0!</v>
      </c>
      <c r="BD23" s="30">
        <f t="shared" si="12"/>
        <v>0</v>
      </c>
      <c r="BE23" s="62" t="e">
        <f t="shared" ca="1" si="13"/>
        <v>#REF!</v>
      </c>
    </row>
    <row r="24" spans="1:57" ht="15" customHeight="1" thickBot="1" x14ac:dyDescent="0.3">
      <c r="A24" s="68">
        <v>13</v>
      </c>
      <c r="B24" s="67" t="s">
        <v>212</v>
      </c>
      <c r="C24" s="69" t="s">
        <v>971</v>
      </c>
      <c r="D24" s="66" t="s">
        <v>213</v>
      </c>
      <c r="E24" s="69" t="s">
        <v>203</v>
      </c>
      <c r="F24" s="54"/>
      <c r="G24" s="54"/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55">
        <f t="shared" si="0"/>
        <v>0</v>
      </c>
      <c r="AN24" s="55">
        <f t="shared" si="1"/>
        <v>0</v>
      </c>
      <c r="AO24" s="72"/>
      <c r="AP24" s="74" t="str">
        <f t="shared" si="2"/>
        <v/>
      </c>
      <c r="AQ24" s="74" t="str">
        <f t="shared" si="3"/>
        <v/>
      </c>
      <c r="AS24" s="67" t="s">
        <v>212</v>
      </c>
      <c r="AU24" s="30">
        <f t="shared" si="4"/>
        <v>0</v>
      </c>
      <c r="AV24" s="62">
        <f t="shared" ca="1" si="5"/>
        <v>0</v>
      </c>
      <c r="AW24" s="30">
        <f t="shared" si="6"/>
        <v>0</v>
      </c>
      <c r="AX24" s="62" t="e">
        <f t="shared" si="7"/>
        <v>#DIV/0!</v>
      </c>
      <c r="AY24" s="30">
        <f t="shared" si="8"/>
        <v>0</v>
      </c>
      <c r="AZ24" s="62" t="e">
        <f t="shared" si="9"/>
        <v>#DIV/0!</v>
      </c>
      <c r="BA24" s="30">
        <f t="shared" si="10"/>
        <v>0</v>
      </c>
      <c r="BB24" s="62" t="e">
        <f t="shared" si="11"/>
        <v>#DIV/0!</v>
      </c>
      <c r="BD24" s="30">
        <f t="shared" si="12"/>
        <v>0</v>
      </c>
      <c r="BE24" s="62" t="e">
        <f t="shared" ca="1" si="13"/>
        <v>#REF!</v>
      </c>
    </row>
    <row r="25" spans="1:57" ht="15" customHeight="1" thickBot="1" x14ac:dyDescent="0.3">
      <c r="A25" s="68">
        <v>14</v>
      </c>
      <c r="B25" s="67" t="s">
        <v>204</v>
      </c>
      <c r="C25" s="69" t="s">
        <v>46</v>
      </c>
      <c r="D25" s="66" t="s">
        <v>198</v>
      </c>
      <c r="E25" s="70" t="s">
        <v>13</v>
      </c>
      <c r="F25" s="54"/>
      <c r="G25" s="54"/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55">
        <f t="shared" si="0"/>
        <v>0</v>
      </c>
      <c r="AN25" s="55">
        <f t="shared" si="1"/>
        <v>0</v>
      </c>
      <c r="AO25" s="72"/>
      <c r="AP25" s="74" t="str">
        <f t="shared" si="2"/>
        <v/>
      </c>
      <c r="AQ25" s="74" t="str">
        <f t="shared" si="3"/>
        <v/>
      </c>
      <c r="AS25" s="67" t="s">
        <v>204</v>
      </c>
      <c r="AU25" s="30">
        <f t="shared" si="4"/>
        <v>0</v>
      </c>
      <c r="AV25" s="62">
        <f t="shared" ca="1" si="5"/>
        <v>0</v>
      </c>
      <c r="AW25" s="30">
        <f t="shared" si="6"/>
        <v>0</v>
      </c>
      <c r="AX25" s="62" t="e">
        <f t="shared" si="7"/>
        <v>#DIV/0!</v>
      </c>
      <c r="AY25" s="30">
        <f t="shared" si="8"/>
        <v>0</v>
      </c>
      <c r="AZ25" s="62" t="e">
        <f t="shared" si="9"/>
        <v>#DIV/0!</v>
      </c>
      <c r="BA25" s="30">
        <f t="shared" si="10"/>
        <v>0</v>
      </c>
      <c r="BB25" s="62" t="e">
        <f t="shared" si="11"/>
        <v>#DIV/0!</v>
      </c>
      <c r="BD25" s="30">
        <f t="shared" si="12"/>
        <v>0</v>
      </c>
      <c r="BE25" s="62" t="e">
        <f t="shared" ca="1" si="13"/>
        <v>#REF!</v>
      </c>
    </row>
    <row r="26" spans="1:57" ht="15" customHeight="1" thickBot="1" x14ac:dyDescent="0.3">
      <c r="A26" s="68">
        <v>15</v>
      </c>
      <c r="B26" s="67" t="s">
        <v>973</v>
      </c>
      <c r="C26" s="69" t="s">
        <v>46</v>
      </c>
      <c r="D26" s="66" t="s">
        <v>201</v>
      </c>
      <c r="E26" s="69" t="s">
        <v>203</v>
      </c>
      <c r="F26" s="54"/>
      <c r="G26" s="54"/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55">
        <f t="shared" si="0"/>
        <v>0</v>
      </c>
      <c r="AN26" s="55">
        <f t="shared" si="1"/>
        <v>0</v>
      </c>
      <c r="AO26" s="72"/>
      <c r="AP26" s="74" t="str">
        <f t="shared" si="2"/>
        <v/>
      </c>
      <c r="AQ26" s="74" t="str">
        <f t="shared" si="3"/>
        <v/>
      </c>
      <c r="AS26" s="67" t="s">
        <v>973</v>
      </c>
      <c r="AU26" s="30">
        <f t="shared" si="4"/>
        <v>0</v>
      </c>
      <c r="AV26" s="62">
        <f t="shared" ca="1" si="5"/>
        <v>0</v>
      </c>
      <c r="AW26" s="30">
        <f t="shared" si="6"/>
        <v>0</v>
      </c>
      <c r="AX26" s="62" t="e">
        <f t="shared" si="7"/>
        <v>#DIV/0!</v>
      </c>
      <c r="AY26" s="30">
        <f t="shared" si="8"/>
        <v>0</v>
      </c>
      <c r="AZ26" s="62" t="e">
        <f t="shared" si="9"/>
        <v>#DIV/0!</v>
      </c>
      <c r="BA26" s="30">
        <f t="shared" si="10"/>
        <v>0</v>
      </c>
      <c r="BB26" s="62" t="e">
        <f t="shared" si="11"/>
        <v>#DIV/0!</v>
      </c>
      <c r="BD26" s="30">
        <f t="shared" si="12"/>
        <v>0</v>
      </c>
      <c r="BE26" s="62" t="e">
        <f t="shared" ca="1" si="13"/>
        <v>#REF!</v>
      </c>
    </row>
    <row r="27" spans="1:57" ht="15" customHeight="1" thickBot="1" x14ac:dyDescent="0.3">
      <c r="A27" s="68">
        <v>16</v>
      </c>
      <c r="B27" s="67" t="s">
        <v>218</v>
      </c>
      <c r="C27" s="69" t="s">
        <v>46</v>
      </c>
      <c r="D27" s="66" t="s">
        <v>198</v>
      </c>
      <c r="E27" s="69" t="s">
        <v>975</v>
      </c>
      <c r="F27" s="54"/>
      <c r="G27" s="54"/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55">
        <f t="shared" si="0"/>
        <v>0</v>
      </c>
      <c r="AN27" s="55">
        <f t="shared" si="1"/>
        <v>0</v>
      </c>
      <c r="AO27" s="72"/>
      <c r="AP27" s="74" t="str">
        <f t="shared" si="2"/>
        <v/>
      </c>
      <c r="AQ27" s="74" t="str">
        <f t="shared" si="3"/>
        <v/>
      </c>
      <c r="AS27" s="67" t="s">
        <v>218</v>
      </c>
      <c r="AU27" s="30">
        <f t="shared" si="4"/>
        <v>0</v>
      </c>
      <c r="AV27" s="62">
        <f t="shared" ca="1" si="5"/>
        <v>0</v>
      </c>
      <c r="AW27" s="30">
        <f t="shared" si="6"/>
        <v>0</v>
      </c>
      <c r="AX27" s="62" t="e">
        <f t="shared" si="7"/>
        <v>#DIV/0!</v>
      </c>
      <c r="AY27" s="30">
        <f t="shared" si="8"/>
        <v>0</v>
      </c>
      <c r="AZ27" s="62" t="e">
        <f t="shared" si="9"/>
        <v>#DIV/0!</v>
      </c>
      <c r="BA27" s="30">
        <f t="shared" si="10"/>
        <v>0</v>
      </c>
      <c r="BB27" s="62" t="e">
        <f t="shared" si="11"/>
        <v>#DIV/0!</v>
      </c>
      <c r="BD27" s="30">
        <f t="shared" si="12"/>
        <v>0</v>
      </c>
      <c r="BE27" s="62" t="e">
        <f t="shared" ca="1" si="13"/>
        <v>#REF!</v>
      </c>
    </row>
    <row r="28" spans="1:57" ht="15" customHeight="1" thickBot="1" x14ac:dyDescent="0.3">
      <c r="A28" s="68">
        <v>17</v>
      </c>
      <c r="B28" s="67" t="s">
        <v>974</v>
      </c>
      <c r="C28" s="69" t="s">
        <v>46</v>
      </c>
      <c r="D28" s="66" t="s">
        <v>210</v>
      </c>
      <c r="E28" s="70" t="s">
        <v>13</v>
      </c>
      <c r="F28" s="54"/>
      <c r="G28" s="54"/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55">
        <f t="shared" si="0"/>
        <v>0</v>
      </c>
      <c r="AN28" s="55">
        <f t="shared" si="1"/>
        <v>0</v>
      </c>
      <c r="AO28" s="72"/>
      <c r="AP28" s="74" t="str">
        <f t="shared" si="2"/>
        <v/>
      </c>
      <c r="AQ28" s="74" t="str">
        <f t="shared" si="3"/>
        <v/>
      </c>
      <c r="AS28" s="67" t="s">
        <v>974</v>
      </c>
      <c r="AU28" s="30">
        <f t="shared" si="4"/>
        <v>0</v>
      </c>
      <c r="AV28" s="62">
        <f t="shared" ca="1" si="5"/>
        <v>0</v>
      </c>
      <c r="AW28" s="30">
        <f t="shared" si="6"/>
        <v>0</v>
      </c>
      <c r="AX28" s="62" t="e">
        <f t="shared" si="7"/>
        <v>#DIV/0!</v>
      </c>
      <c r="AY28" s="30">
        <f t="shared" si="8"/>
        <v>0</v>
      </c>
      <c r="AZ28" s="62" t="e">
        <f t="shared" si="9"/>
        <v>#DIV/0!</v>
      </c>
      <c r="BA28" s="30">
        <f t="shared" si="10"/>
        <v>0</v>
      </c>
      <c r="BB28" s="62" t="e">
        <f t="shared" si="11"/>
        <v>#DIV/0!</v>
      </c>
      <c r="BD28" s="30">
        <f t="shared" si="12"/>
        <v>0</v>
      </c>
      <c r="BE28" s="62" t="e">
        <f t="shared" ca="1" si="13"/>
        <v>#REF!</v>
      </c>
    </row>
    <row r="29" spans="1:57" ht="15" customHeight="1" thickBot="1" x14ac:dyDescent="0.3">
      <c r="A29" s="68">
        <v>18</v>
      </c>
      <c r="B29" s="67" t="s">
        <v>221</v>
      </c>
      <c r="C29" s="69" t="s">
        <v>46</v>
      </c>
      <c r="D29" s="66" t="s">
        <v>976</v>
      </c>
      <c r="E29" s="70" t="s">
        <v>13</v>
      </c>
      <c r="F29" s="54"/>
      <c r="G29" s="54"/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55">
        <f t="shared" si="0"/>
        <v>0</v>
      </c>
      <c r="AN29" s="55">
        <f t="shared" si="1"/>
        <v>0</v>
      </c>
      <c r="AO29" s="72"/>
      <c r="AP29" s="74" t="str">
        <f t="shared" si="2"/>
        <v/>
      </c>
      <c r="AQ29" s="74" t="str">
        <f t="shared" si="3"/>
        <v/>
      </c>
      <c r="AS29" s="67" t="s">
        <v>221</v>
      </c>
      <c r="AU29" s="30">
        <f t="shared" si="4"/>
        <v>0</v>
      </c>
      <c r="AV29" s="62">
        <f t="shared" ca="1" si="5"/>
        <v>0</v>
      </c>
      <c r="AW29" s="30">
        <f t="shared" si="6"/>
        <v>0</v>
      </c>
      <c r="AX29" s="62" t="e">
        <f t="shared" si="7"/>
        <v>#DIV/0!</v>
      </c>
      <c r="AY29" s="30">
        <f t="shared" si="8"/>
        <v>0</v>
      </c>
      <c r="AZ29" s="62" t="e">
        <f t="shared" si="9"/>
        <v>#DIV/0!</v>
      </c>
      <c r="BA29" s="30">
        <f t="shared" si="10"/>
        <v>0</v>
      </c>
      <c r="BB29" s="62" t="e">
        <f t="shared" si="11"/>
        <v>#DIV/0!</v>
      </c>
      <c r="BD29" s="30">
        <f t="shared" si="12"/>
        <v>0</v>
      </c>
      <c r="BE29" s="62" t="e">
        <f t="shared" ca="1" si="13"/>
        <v>#REF!</v>
      </c>
    </row>
    <row r="30" spans="1:57" ht="15" customHeight="1" thickBot="1" x14ac:dyDescent="0.3">
      <c r="A30" s="68">
        <v>19</v>
      </c>
      <c r="B30" s="67" t="s">
        <v>223</v>
      </c>
      <c r="C30" s="69" t="s">
        <v>977</v>
      </c>
      <c r="D30" s="66" t="s">
        <v>224</v>
      </c>
      <c r="E30" s="69" t="s">
        <v>978</v>
      </c>
      <c r="F30" s="54"/>
      <c r="G30" s="54"/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55">
        <f t="shared" si="0"/>
        <v>0</v>
      </c>
      <c r="AN30" s="55">
        <f t="shared" si="1"/>
        <v>0</v>
      </c>
      <c r="AO30" s="72"/>
      <c r="AP30" s="74" t="str">
        <f t="shared" si="2"/>
        <v/>
      </c>
      <c r="AQ30" s="74" t="str">
        <f t="shared" si="3"/>
        <v/>
      </c>
      <c r="AS30" s="67" t="s">
        <v>223</v>
      </c>
      <c r="AU30" s="30">
        <f t="shared" si="4"/>
        <v>0</v>
      </c>
      <c r="AV30" s="62">
        <f t="shared" ca="1" si="5"/>
        <v>0</v>
      </c>
      <c r="AW30" s="30">
        <f t="shared" si="6"/>
        <v>0</v>
      </c>
      <c r="AX30" s="62" t="e">
        <f t="shared" si="7"/>
        <v>#DIV/0!</v>
      </c>
      <c r="AY30" s="30">
        <f t="shared" si="8"/>
        <v>0</v>
      </c>
      <c r="AZ30" s="62" t="e">
        <f t="shared" si="9"/>
        <v>#DIV/0!</v>
      </c>
      <c r="BA30" s="30">
        <f t="shared" si="10"/>
        <v>0</v>
      </c>
      <c r="BB30" s="62" t="e">
        <f t="shared" si="11"/>
        <v>#DIV/0!</v>
      </c>
      <c r="BD30" s="30">
        <f t="shared" si="12"/>
        <v>0</v>
      </c>
      <c r="BE30" s="62" t="e">
        <f t="shared" ca="1" si="13"/>
        <v>#REF!</v>
      </c>
    </row>
    <row r="31" spans="1:57" ht="15" customHeight="1" thickBot="1" x14ac:dyDescent="0.3">
      <c r="A31" s="68">
        <v>20</v>
      </c>
      <c r="B31" s="67" t="s">
        <v>205</v>
      </c>
      <c r="C31" s="69" t="s">
        <v>979</v>
      </c>
      <c r="D31" s="66" t="s">
        <v>201</v>
      </c>
      <c r="E31" s="70" t="s">
        <v>13</v>
      </c>
      <c r="F31" s="54"/>
      <c r="G31" s="54"/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55">
        <f t="shared" si="0"/>
        <v>0</v>
      </c>
      <c r="AN31" s="55">
        <f t="shared" si="1"/>
        <v>0</v>
      </c>
      <c r="AO31" s="72"/>
      <c r="AP31" s="74" t="str">
        <f t="shared" si="2"/>
        <v/>
      </c>
      <c r="AQ31" s="74" t="str">
        <f t="shared" si="3"/>
        <v/>
      </c>
      <c r="AS31" s="67" t="s">
        <v>205</v>
      </c>
      <c r="AU31" s="30">
        <f t="shared" si="4"/>
        <v>0</v>
      </c>
      <c r="AV31" s="62">
        <f t="shared" ca="1" si="5"/>
        <v>0</v>
      </c>
      <c r="AW31" s="30">
        <f t="shared" si="6"/>
        <v>0</v>
      </c>
      <c r="AX31" s="62" t="e">
        <f t="shared" si="7"/>
        <v>#DIV/0!</v>
      </c>
      <c r="AY31" s="30">
        <f t="shared" si="8"/>
        <v>0</v>
      </c>
      <c r="AZ31" s="62" t="e">
        <f t="shared" si="9"/>
        <v>#DIV/0!</v>
      </c>
      <c r="BA31" s="30">
        <f t="shared" si="10"/>
        <v>0</v>
      </c>
      <c r="BB31" s="62" t="e">
        <f t="shared" si="11"/>
        <v>#DIV/0!</v>
      </c>
      <c r="BD31" s="30">
        <f t="shared" si="12"/>
        <v>0</v>
      </c>
      <c r="BE31" s="62" t="e">
        <f t="shared" ca="1" si="13"/>
        <v>#REF!</v>
      </c>
    </row>
    <row r="32" spans="1:57" ht="15" customHeight="1" thickBot="1" x14ac:dyDescent="0.3">
      <c r="A32" s="68">
        <v>21</v>
      </c>
      <c r="B32" s="67" t="s">
        <v>209</v>
      </c>
      <c r="C32" s="69" t="s">
        <v>979</v>
      </c>
      <c r="D32" s="66" t="s">
        <v>210</v>
      </c>
      <c r="E32" s="70" t="s">
        <v>13</v>
      </c>
      <c r="F32" s="54"/>
      <c r="G32" s="54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55">
        <f t="shared" si="0"/>
        <v>0</v>
      </c>
      <c r="AN32" s="55">
        <f t="shared" si="1"/>
        <v>0</v>
      </c>
      <c r="AO32" s="72"/>
      <c r="AP32" s="74" t="str">
        <f t="shared" si="2"/>
        <v/>
      </c>
      <c r="AQ32" s="74" t="str">
        <f t="shared" si="3"/>
        <v/>
      </c>
      <c r="AS32" s="67" t="s">
        <v>209</v>
      </c>
      <c r="AU32" s="30">
        <f t="shared" si="4"/>
        <v>0</v>
      </c>
      <c r="AV32" s="62">
        <f t="shared" ca="1" si="5"/>
        <v>0</v>
      </c>
      <c r="AW32" s="30">
        <f t="shared" si="6"/>
        <v>0</v>
      </c>
      <c r="AX32" s="62" t="e">
        <f t="shared" si="7"/>
        <v>#DIV/0!</v>
      </c>
      <c r="AY32" s="30">
        <f t="shared" si="8"/>
        <v>0</v>
      </c>
      <c r="AZ32" s="62" t="e">
        <f t="shared" si="9"/>
        <v>#DIV/0!</v>
      </c>
      <c r="BA32" s="30">
        <f t="shared" si="10"/>
        <v>0</v>
      </c>
      <c r="BB32" s="62" t="e">
        <f t="shared" si="11"/>
        <v>#DIV/0!</v>
      </c>
      <c r="BD32" s="30">
        <f t="shared" si="12"/>
        <v>0</v>
      </c>
      <c r="BE32" s="62" t="e">
        <f t="shared" ca="1" si="13"/>
        <v>#REF!</v>
      </c>
    </row>
    <row r="33" spans="1:57" ht="15" customHeight="1" thickBot="1" x14ac:dyDescent="0.3">
      <c r="A33" s="68">
        <v>22</v>
      </c>
      <c r="B33" s="67" t="s">
        <v>207</v>
      </c>
      <c r="C33" s="69" t="s">
        <v>980</v>
      </c>
      <c r="D33" s="66" t="s">
        <v>201</v>
      </c>
      <c r="E33" s="69" t="s">
        <v>208</v>
      </c>
      <c r="F33" s="54"/>
      <c r="G33" s="54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55">
        <f t="shared" si="0"/>
        <v>0</v>
      </c>
      <c r="AN33" s="55">
        <f t="shared" si="1"/>
        <v>0</v>
      </c>
      <c r="AO33" s="72"/>
      <c r="AP33" s="74" t="str">
        <f t="shared" si="2"/>
        <v/>
      </c>
      <c r="AQ33" s="74" t="str">
        <f t="shared" si="3"/>
        <v/>
      </c>
      <c r="AS33" s="67" t="s">
        <v>207</v>
      </c>
      <c r="AU33" s="30">
        <f t="shared" si="4"/>
        <v>0</v>
      </c>
      <c r="AV33" s="62">
        <f t="shared" ca="1" si="5"/>
        <v>0</v>
      </c>
      <c r="AW33" s="30">
        <f t="shared" si="6"/>
        <v>0</v>
      </c>
      <c r="AX33" s="62" t="e">
        <f t="shared" si="7"/>
        <v>#DIV/0!</v>
      </c>
      <c r="AY33" s="30">
        <f t="shared" si="8"/>
        <v>0</v>
      </c>
      <c r="AZ33" s="62" t="e">
        <f t="shared" si="9"/>
        <v>#DIV/0!</v>
      </c>
      <c r="BA33" s="30">
        <f t="shared" si="10"/>
        <v>0</v>
      </c>
      <c r="BB33" s="62" t="e">
        <f t="shared" si="11"/>
        <v>#DIV/0!</v>
      </c>
      <c r="BD33" s="30">
        <f t="shared" si="12"/>
        <v>0</v>
      </c>
      <c r="BE33" s="62" t="e">
        <f t="shared" ca="1" si="13"/>
        <v>#REF!</v>
      </c>
    </row>
    <row r="34" spans="1:57" ht="15" customHeight="1" thickBot="1" x14ac:dyDescent="0.3">
      <c r="A34" s="68">
        <v>23</v>
      </c>
      <c r="B34" s="67" t="s">
        <v>982</v>
      </c>
      <c r="C34" s="69" t="s">
        <v>981</v>
      </c>
      <c r="D34" s="66" t="s">
        <v>201</v>
      </c>
      <c r="E34" s="71">
        <v>0.02</v>
      </c>
      <c r="F34" s="54"/>
      <c r="G34" s="54"/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55">
        <f t="shared" si="0"/>
        <v>0</v>
      </c>
      <c r="AN34" s="55">
        <f t="shared" si="1"/>
        <v>0</v>
      </c>
      <c r="AO34" s="72"/>
      <c r="AP34" s="74" t="str">
        <f t="shared" si="2"/>
        <v/>
      </c>
      <c r="AQ34" s="74" t="str">
        <f t="shared" si="3"/>
        <v/>
      </c>
      <c r="AS34" s="67" t="s">
        <v>982</v>
      </c>
      <c r="AU34" s="30">
        <f t="shared" si="4"/>
        <v>0</v>
      </c>
      <c r="AV34" s="62">
        <f t="shared" ca="1" si="5"/>
        <v>0</v>
      </c>
      <c r="AW34" s="30">
        <f t="shared" si="6"/>
        <v>0</v>
      </c>
      <c r="AX34" s="62" t="e">
        <f t="shared" si="7"/>
        <v>#DIV/0!</v>
      </c>
      <c r="AY34" s="30">
        <f t="shared" si="8"/>
        <v>0</v>
      </c>
      <c r="AZ34" s="62" t="e">
        <f t="shared" si="9"/>
        <v>#DIV/0!</v>
      </c>
      <c r="BA34" s="30">
        <f t="shared" si="10"/>
        <v>0</v>
      </c>
      <c r="BB34" s="62" t="e">
        <f t="shared" si="11"/>
        <v>#DIV/0!</v>
      </c>
      <c r="BD34" s="30">
        <f t="shared" si="12"/>
        <v>0</v>
      </c>
      <c r="BE34" s="62" t="e">
        <f t="shared" ca="1" si="13"/>
        <v>#REF!</v>
      </c>
    </row>
    <row r="35" spans="1:57" ht="15" customHeight="1" thickBot="1" x14ac:dyDescent="0.3">
      <c r="A35" s="68">
        <v>24</v>
      </c>
      <c r="B35" s="67" t="s">
        <v>216</v>
      </c>
      <c r="C35" s="69" t="s">
        <v>983</v>
      </c>
      <c r="D35" s="66" t="s">
        <v>213</v>
      </c>
      <c r="E35" s="70" t="s">
        <v>13</v>
      </c>
      <c r="F35" s="54"/>
      <c r="G35" s="54"/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55">
        <f t="shared" si="0"/>
        <v>0</v>
      </c>
      <c r="AN35" s="55">
        <f t="shared" si="1"/>
        <v>0</v>
      </c>
      <c r="AO35" s="72"/>
      <c r="AP35" s="74" t="str">
        <f t="shared" si="2"/>
        <v/>
      </c>
      <c r="AQ35" s="74" t="str">
        <f t="shared" si="3"/>
        <v/>
      </c>
      <c r="AS35" s="67" t="s">
        <v>216</v>
      </c>
      <c r="AU35" s="30">
        <f t="shared" si="4"/>
        <v>0</v>
      </c>
      <c r="AV35" s="62">
        <f t="shared" ca="1" si="5"/>
        <v>0</v>
      </c>
      <c r="AW35" s="30">
        <f t="shared" si="6"/>
        <v>0</v>
      </c>
      <c r="AX35" s="62" t="e">
        <f t="shared" si="7"/>
        <v>#DIV/0!</v>
      </c>
      <c r="AY35" s="30">
        <f t="shared" si="8"/>
        <v>0</v>
      </c>
      <c r="AZ35" s="62" t="e">
        <f t="shared" si="9"/>
        <v>#DIV/0!</v>
      </c>
      <c r="BA35" s="30">
        <f t="shared" si="10"/>
        <v>0</v>
      </c>
      <c r="BB35" s="62" t="e">
        <f t="shared" si="11"/>
        <v>#DIV/0!</v>
      </c>
      <c r="BD35" s="30">
        <f t="shared" si="12"/>
        <v>0</v>
      </c>
      <c r="BE35" s="62" t="e">
        <f t="shared" ca="1" si="13"/>
        <v>#REF!</v>
      </c>
    </row>
    <row r="36" spans="1:57" ht="15" customHeight="1" thickBot="1" x14ac:dyDescent="0.3">
      <c r="A36" s="68">
        <v>25</v>
      </c>
      <c r="B36" s="67" t="s">
        <v>217</v>
      </c>
      <c r="C36" s="69" t="s">
        <v>983</v>
      </c>
      <c r="D36" s="66" t="s">
        <v>198</v>
      </c>
      <c r="E36" s="70" t="s">
        <v>13</v>
      </c>
      <c r="F36" s="54"/>
      <c r="G36" s="54"/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55">
        <f t="shared" si="0"/>
        <v>0</v>
      </c>
      <c r="AN36" s="55">
        <f t="shared" si="1"/>
        <v>0</v>
      </c>
      <c r="AO36" s="72"/>
      <c r="AP36" s="74" t="str">
        <f t="shared" si="2"/>
        <v/>
      </c>
      <c r="AQ36" s="74" t="str">
        <f t="shared" si="3"/>
        <v/>
      </c>
      <c r="AS36" s="67" t="s">
        <v>217</v>
      </c>
      <c r="AU36" s="30">
        <f t="shared" si="4"/>
        <v>0</v>
      </c>
      <c r="AV36" s="62">
        <f t="shared" ca="1" si="5"/>
        <v>0</v>
      </c>
      <c r="AW36" s="30">
        <f t="shared" si="6"/>
        <v>0</v>
      </c>
      <c r="AX36" s="62" t="e">
        <f t="shared" si="7"/>
        <v>#DIV/0!</v>
      </c>
      <c r="AY36" s="30">
        <f t="shared" si="8"/>
        <v>0</v>
      </c>
      <c r="AZ36" s="62" t="e">
        <f t="shared" si="9"/>
        <v>#DIV/0!</v>
      </c>
      <c r="BA36" s="30">
        <f t="shared" si="10"/>
        <v>0</v>
      </c>
      <c r="BB36" s="62" t="e">
        <f t="shared" si="11"/>
        <v>#DIV/0!</v>
      </c>
      <c r="BD36" s="30">
        <f t="shared" si="12"/>
        <v>0</v>
      </c>
      <c r="BE36" s="62" t="e">
        <f t="shared" ca="1" si="13"/>
        <v>#REF!</v>
      </c>
    </row>
    <row r="37" spans="1:57" ht="15" customHeight="1" thickBot="1" x14ac:dyDescent="0.3">
      <c r="A37" s="68">
        <v>26</v>
      </c>
      <c r="B37" s="67" t="s">
        <v>225</v>
      </c>
      <c r="C37" s="69" t="s">
        <v>983</v>
      </c>
      <c r="D37" s="66" t="s">
        <v>198</v>
      </c>
      <c r="E37" s="70" t="s">
        <v>13</v>
      </c>
      <c r="F37" s="54"/>
      <c r="G37" s="54"/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55">
        <f t="shared" si="0"/>
        <v>0</v>
      </c>
      <c r="AN37" s="55">
        <f t="shared" si="1"/>
        <v>0</v>
      </c>
      <c r="AO37" s="72"/>
      <c r="AP37" s="74" t="str">
        <f t="shared" si="2"/>
        <v/>
      </c>
      <c r="AQ37" s="74" t="str">
        <f t="shared" si="3"/>
        <v/>
      </c>
      <c r="AS37" s="67" t="s">
        <v>225</v>
      </c>
      <c r="AU37" s="30">
        <f t="shared" si="4"/>
        <v>0</v>
      </c>
      <c r="AV37" s="62">
        <f t="shared" ca="1" si="5"/>
        <v>0</v>
      </c>
      <c r="AW37" s="30">
        <f t="shared" si="6"/>
        <v>0</v>
      </c>
      <c r="AX37" s="62" t="e">
        <f t="shared" si="7"/>
        <v>#DIV/0!</v>
      </c>
      <c r="AY37" s="30">
        <f t="shared" si="8"/>
        <v>0</v>
      </c>
      <c r="AZ37" s="62" t="e">
        <f t="shared" si="9"/>
        <v>#DIV/0!</v>
      </c>
      <c r="BA37" s="30">
        <f t="shared" si="10"/>
        <v>0</v>
      </c>
      <c r="BB37" s="62" t="e">
        <f t="shared" si="11"/>
        <v>#DIV/0!</v>
      </c>
      <c r="BD37" s="30">
        <f t="shared" si="12"/>
        <v>0</v>
      </c>
      <c r="BE37" s="62" t="e">
        <f t="shared" ca="1" si="13"/>
        <v>#REF!</v>
      </c>
    </row>
    <row r="38" spans="1:57" ht="15" customHeight="1" thickBot="1" x14ac:dyDescent="0.3">
      <c r="A38" s="68">
        <v>27</v>
      </c>
      <c r="B38" s="67" t="s">
        <v>222</v>
      </c>
      <c r="C38" s="69" t="s">
        <v>984</v>
      </c>
      <c r="D38" s="66" t="s">
        <v>976</v>
      </c>
      <c r="E38" s="70" t="s">
        <v>13</v>
      </c>
      <c r="F38" s="54"/>
      <c r="G38" s="54"/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55">
        <f t="shared" si="0"/>
        <v>0</v>
      </c>
      <c r="AN38" s="55">
        <f t="shared" si="1"/>
        <v>0</v>
      </c>
      <c r="AO38" s="72"/>
      <c r="AP38" s="74" t="str">
        <f t="shared" si="2"/>
        <v/>
      </c>
      <c r="AQ38" s="74" t="str">
        <f t="shared" si="3"/>
        <v/>
      </c>
      <c r="AS38" s="67" t="s">
        <v>222</v>
      </c>
      <c r="AU38" s="30">
        <f t="shared" si="4"/>
        <v>0</v>
      </c>
      <c r="AV38" s="62">
        <f t="shared" ca="1" si="5"/>
        <v>0</v>
      </c>
      <c r="AW38" s="30">
        <f t="shared" si="6"/>
        <v>0</v>
      </c>
      <c r="AX38" s="62" t="e">
        <f t="shared" si="7"/>
        <v>#DIV/0!</v>
      </c>
      <c r="AY38" s="30">
        <f t="shared" si="8"/>
        <v>0</v>
      </c>
      <c r="AZ38" s="62" t="e">
        <f t="shared" si="9"/>
        <v>#DIV/0!</v>
      </c>
      <c r="BA38" s="30">
        <f t="shared" si="10"/>
        <v>0</v>
      </c>
      <c r="BB38" s="62" t="e">
        <f t="shared" si="11"/>
        <v>#DIV/0!</v>
      </c>
      <c r="BD38" s="30">
        <f t="shared" si="12"/>
        <v>0</v>
      </c>
      <c r="BE38" s="62" t="e">
        <f t="shared" ca="1" si="13"/>
        <v>#REF!</v>
      </c>
    </row>
    <row r="39" spans="1:57" ht="15" customHeight="1" thickBot="1" x14ac:dyDescent="0.3">
      <c r="A39" s="68">
        <v>28</v>
      </c>
      <c r="B39" s="67" t="s">
        <v>202</v>
      </c>
      <c r="C39" s="69" t="s">
        <v>987</v>
      </c>
      <c r="D39" s="66" t="s">
        <v>976</v>
      </c>
      <c r="E39" s="70" t="s">
        <v>13</v>
      </c>
      <c r="F39" s="54"/>
      <c r="G39" s="54"/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55">
        <f t="shared" si="0"/>
        <v>0</v>
      </c>
      <c r="AN39" s="55">
        <f t="shared" si="1"/>
        <v>0</v>
      </c>
      <c r="AO39" s="72"/>
      <c r="AP39" s="74" t="str">
        <f t="shared" si="2"/>
        <v/>
      </c>
      <c r="AQ39" s="74" t="str">
        <f t="shared" si="3"/>
        <v/>
      </c>
      <c r="AS39" s="67" t="s">
        <v>202</v>
      </c>
      <c r="AU39" s="30">
        <f t="shared" si="4"/>
        <v>0</v>
      </c>
      <c r="AV39" s="62">
        <f t="shared" ca="1" si="5"/>
        <v>0</v>
      </c>
      <c r="AW39" s="30">
        <f t="shared" si="6"/>
        <v>0</v>
      </c>
      <c r="AX39" s="62" t="e">
        <f t="shared" si="7"/>
        <v>#DIV/0!</v>
      </c>
      <c r="AY39" s="30">
        <f t="shared" si="8"/>
        <v>0</v>
      </c>
      <c r="AZ39" s="62" t="e">
        <f t="shared" si="9"/>
        <v>#DIV/0!</v>
      </c>
      <c r="BA39" s="30">
        <f t="shared" si="10"/>
        <v>0</v>
      </c>
      <c r="BB39" s="62" t="e">
        <f t="shared" si="11"/>
        <v>#DIV/0!</v>
      </c>
      <c r="BD39" s="30">
        <f t="shared" si="12"/>
        <v>0</v>
      </c>
      <c r="BE39" s="62" t="e">
        <f t="shared" ca="1" si="13"/>
        <v>#REF!</v>
      </c>
    </row>
    <row r="40" spans="1:57" ht="15" customHeight="1" thickBot="1" x14ac:dyDescent="0.3">
      <c r="A40" s="68">
        <v>29</v>
      </c>
      <c r="B40" s="67" t="s">
        <v>214</v>
      </c>
      <c r="C40" s="69" t="s">
        <v>987</v>
      </c>
      <c r="D40" s="66" t="s">
        <v>976</v>
      </c>
      <c r="E40" s="70" t="s">
        <v>13</v>
      </c>
      <c r="F40" s="54"/>
      <c r="G40" s="54"/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55">
        <f t="shared" si="0"/>
        <v>0</v>
      </c>
      <c r="AN40" s="55">
        <f t="shared" si="1"/>
        <v>0</v>
      </c>
      <c r="AO40" s="72"/>
      <c r="AP40" s="74" t="str">
        <f t="shared" si="2"/>
        <v/>
      </c>
      <c r="AQ40" s="74" t="str">
        <f t="shared" si="3"/>
        <v/>
      </c>
      <c r="AS40" s="67" t="s">
        <v>214</v>
      </c>
      <c r="AU40" s="30">
        <f t="shared" si="4"/>
        <v>0</v>
      </c>
      <c r="AV40" s="62">
        <f t="shared" ca="1" si="5"/>
        <v>0</v>
      </c>
      <c r="AW40" s="30">
        <f t="shared" si="6"/>
        <v>0</v>
      </c>
      <c r="AX40" s="62" t="e">
        <f t="shared" si="7"/>
        <v>#DIV/0!</v>
      </c>
      <c r="AY40" s="30">
        <f t="shared" si="8"/>
        <v>0</v>
      </c>
      <c r="AZ40" s="62" t="e">
        <f t="shared" si="9"/>
        <v>#DIV/0!</v>
      </c>
      <c r="BA40" s="30">
        <f t="shared" si="10"/>
        <v>0</v>
      </c>
      <c r="BB40" s="62" t="e">
        <f t="shared" si="11"/>
        <v>#DIV/0!</v>
      </c>
      <c r="BD40" s="30">
        <f t="shared" si="12"/>
        <v>0</v>
      </c>
      <c r="BE40" s="62" t="e">
        <f t="shared" ca="1" si="13"/>
        <v>#REF!</v>
      </c>
    </row>
    <row r="41" spans="1:57" ht="15" customHeight="1" thickBot="1" x14ac:dyDescent="0.3">
      <c r="A41" s="68">
        <v>30</v>
      </c>
      <c r="B41" s="67" t="s">
        <v>993</v>
      </c>
      <c r="C41" s="69" t="s">
        <v>988</v>
      </c>
      <c r="D41" s="66" t="s">
        <v>219</v>
      </c>
      <c r="E41" s="66" t="s">
        <v>994</v>
      </c>
      <c r="F41" s="54"/>
      <c r="G41" s="54"/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55">
        <f t="shared" si="0"/>
        <v>0</v>
      </c>
      <c r="AN41" s="55">
        <f t="shared" si="1"/>
        <v>0</v>
      </c>
      <c r="AO41" s="72"/>
      <c r="AP41" s="74" t="str">
        <f t="shared" si="2"/>
        <v/>
      </c>
      <c r="AQ41" s="74" t="str">
        <f t="shared" si="3"/>
        <v/>
      </c>
      <c r="AS41" s="67" t="s">
        <v>993</v>
      </c>
      <c r="AU41" s="30">
        <f t="shared" si="4"/>
        <v>0</v>
      </c>
      <c r="AV41" s="62">
        <f t="shared" ca="1" si="5"/>
        <v>0</v>
      </c>
      <c r="AW41" s="30">
        <f t="shared" si="6"/>
        <v>0</v>
      </c>
      <c r="AX41" s="62" t="e">
        <f t="shared" si="7"/>
        <v>#DIV/0!</v>
      </c>
      <c r="AY41" s="30">
        <f t="shared" si="8"/>
        <v>0</v>
      </c>
      <c r="AZ41" s="62" t="e">
        <f t="shared" si="9"/>
        <v>#DIV/0!</v>
      </c>
      <c r="BA41" s="30">
        <f t="shared" si="10"/>
        <v>0</v>
      </c>
      <c r="BB41" s="62" t="e">
        <f t="shared" si="11"/>
        <v>#DIV/0!</v>
      </c>
      <c r="BD41" s="30">
        <f t="shared" si="12"/>
        <v>0</v>
      </c>
      <c r="BE41" s="62" t="e">
        <f t="shared" ca="1" si="13"/>
        <v>#REF!</v>
      </c>
    </row>
    <row r="42" spans="1:57" ht="15" customHeight="1" thickBot="1" x14ac:dyDescent="0.3">
      <c r="A42" s="68">
        <v>31</v>
      </c>
      <c r="B42" s="67" t="s">
        <v>990</v>
      </c>
      <c r="C42" s="69" t="s">
        <v>989</v>
      </c>
      <c r="D42" s="66" t="s">
        <v>219</v>
      </c>
      <c r="E42" s="70" t="s">
        <v>13</v>
      </c>
      <c r="F42" s="54"/>
      <c r="G42" s="54"/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55">
        <f t="shared" si="0"/>
        <v>0</v>
      </c>
      <c r="AN42" s="55">
        <f t="shared" si="1"/>
        <v>0</v>
      </c>
      <c r="AO42" s="72"/>
      <c r="AP42" s="74" t="str">
        <f t="shared" si="2"/>
        <v/>
      </c>
      <c r="AQ42" s="74" t="str">
        <f t="shared" si="3"/>
        <v/>
      </c>
      <c r="AS42" s="67" t="s">
        <v>990</v>
      </c>
      <c r="AU42" s="30">
        <f t="shared" si="4"/>
        <v>0</v>
      </c>
      <c r="AV42" s="62">
        <f t="shared" ca="1" si="5"/>
        <v>0</v>
      </c>
      <c r="AW42" s="30">
        <f t="shared" si="6"/>
        <v>0</v>
      </c>
      <c r="AX42" s="62" t="e">
        <f t="shared" si="7"/>
        <v>#DIV/0!</v>
      </c>
      <c r="AY42" s="30">
        <f t="shared" si="8"/>
        <v>0</v>
      </c>
      <c r="AZ42" s="62" t="e">
        <f t="shared" si="9"/>
        <v>#DIV/0!</v>
      </c>
      <c r="BA42" s="30">
        <f t="shared" si="10"/>
        <v>0</v>
      </c>
      <c r="BB42" s="62" t="e">
        <f t="shared" si="11"/>
        <v>#DIV/0!</v>
      </c>
      <c r="BD42" s="30">
        <f t="shared" si="12"/>
        <v>0</v>
      </c>
      <c r="BE42" s="62" t="e">
        <f t="shared" ca="1" si="13"/>
        <v>#REF!</v>
      </c>
    </row>
    <row r="43" spans="1:57" ht="15" customHeight="1" thickBot="1" x14ac:dyDescent="0.3">
      <c r="A43" s="68">
        <v>32</v>
      </c>
      <c r="B43" s="67" t="s">
        <v>196</v>
      </c>
      <c r="C43" s="69" t="s">
        <v>991</v>
      </c>
      <c r="D43" s="66" t="s">
        <v>213</v>
      </c>
      <c r="E43" s="66" t="s">
        <v>197</v>
      </c>
      <c r="F43" s="54"/>
      <c r="G43" s="54"/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55">
        <f t="shared" si="0"/>
        <v>0</v>
      </c>
      <c r="AN43" s="55">
        <f t="shared" si="1"/>
        <v>0</v>
      </c>
      <c r="AO43" s="72"/>
      <c r="AP43" s="74" t="str">
        <f t="shared" si="2"/>
        <v/>
      </c>
      <c r="AQ43" s="74" t="str">
        <f t="shared" si="3"/>
        <v/>
      </c>
      <c r="AS43" s="67" t="s">
        <v>196</v>
      </c>
      <c r="AU43" s="30">
        <f t="shared" si="4"/>
        <v>0</v>
      </c>
      <c r="AV43" s="62">
        <f t="shared" ca="1" si="5"/>
        <v>0</v>
      </c>
      <c r="AW43" s="30">
        <f t="shared" si="6"/>
        <v>0</v>
      </c>
      <c r="AX43" s="62" t="e">
        <f t="shared" si="7"/>
        <v>#DIV/0!</v>
      </c>
      <c r="AY43" s="30">
        <f t="shared" si="8"/>
        <v>0</v>
      </c>
      <c r="AZ43" s="62" t="e">
        <f t="shared" si="9"/>
        <v>#DIV/0!</v>
      </c>
      <c r="BA43" s="30">
        <f t="shared" si="10"/>
        <v>0</v>
      </c>
      <c r="BB43" s="62" t="e">
        <f t="shared" si="11"/>
        <v>#DIV/0!</v>
      </c>
      <c r="BD43" s="30">
        <f t="shared" si="12"/>
        <v>0</v>
      </c>
      <c r="BE43" s="62" t="e">
        <f t="shared" ca="1" si="13"/>
        <v>#REF!</v>
      </c>
    </row>
    <row r="44" spans="1:57" ht="15" customHeight="1" thickBot="1" x14ac:dyDescent="0.3">
      <c r="A44" s="68">
        <v>33</v>
      </c>
      <c r="B44" s="67" t="s">
        <v>215</v>
      </c>
      <c r="C44" s="69" t="s">
        <v>992</v>
      </c>
      <c r="D44" s="66" t="s">
        <v>198</v>
      </c>
      <c r="E44" s="66" t="s">
        <v>206</v>
      </c>
      <c r="F44" s="54"/>
      <c r="G44" s="54"/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55">
        <f t="shared" si="0"/>
        <v>0</v>
      </c>
      <c r="AN44" s="55">
        <f t="shared" si="1"/>
        <v>0</v>
      </c>
      <c r="AO44" s="72"/>
      <c r="AP44" s="74" t="str">
        <f t="shared" si="2"/>
        <v/>
      </c>
      <c r="AQ44" s="74" t="str">
        <f t="shared" si="3"/>
        <v/>
      </c>
      <c r="AS44" s="67" t="s">
        <v>215</v>
      </c>
      <c r="AU44" s="30">
        <f t="shared" si="4"/>
        <v>0</v>
      </c>
      <c r="AV44" s="62">
        <f t="shared" ca="1" si="5"/>
        <v>0</v>
      </c>
      <c r="AW44" s="30">
        <f t="shared" si="6"/>
        <v>0</v>
      </c>
      <c r="AX44" s="62" t="e">
        <f t="shared" si="7"/>
        <v>#DIV/0!</v>
      </c>
      <c r="AY44" s="30">
        <f t="shared" si="8"/>
        <v>0</v>
      </c>
      <c r="AZ44" s="62" t="e">
        <f t="shared" si="9"/>
        <v>#DIV/0!</v>
      </c>
      <c r="BA44" s="30">
        <f t="shared" si="10"/>
        <v>0</v>
      </c>
      <c r="BB44" s="62" t="e">
        <f t="shared" si="11"/>
        <v>#DIV/0!</v>
      </c>
      <c r="BD44" s="30">
        <f t="shared" si="12"/>
        <v>0</v>
      </c>
      <c r="BE44" s="62" t="e">
        <f t="shared" ca="1" si="13"/>
        <v>#REF!</v>
      </c>
    </row>
    <row r="45" spans="1:57" ht="15" customHeight="1" thickBot="1" x14ac:dyDescent="0.3">
      <c r="A45" s="68">
        <v>34</v>
      </c>
      <c r="B45" s="67" t="s">
        <v>226</v>
      </c>
      <c r="C45" s="69" t="s">
        <v>992</v>
      </c>
      <c r="D45" s="66" t="s">
        <v>230</v>
      </c>
      <c r="E45" s="66" t="s">
        <v>227</v>
      </c>
      <c r="F45" s="54"/>
      <c r="G45" s="54"/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55">
        <f t="shared" si="0"/>
        <v>0</v>
      </c>
      <c r="AN45" s="55">
        <f t="shared" si="1"/>
        <v>0</v>
      </c>
      <c r="AO45" s="72"/>
      <c r="AP45" s="74" t="str">
        <f t="shared" si="2"/>
        <v/>
      </c>
      <c r="AQ45" s="74" t="str">
        <f t="shared" si="3"/>
        <v/>
      </c>
      <c r="AS45" s="67" t="s">
        <v>226</v>
      </c>
      <c r="AU45" s="30">
        <f t="shared" si="4"/>
        <v>0</v>
      </c>
      <c r="AV45" s="62">
        <f t="shared" ca="1" si="5"/>
        <v>0</v>
      </c>
      <c r="AW45" s="30">
        <f t="shared" si="6"/>
        <v>0</v>
      </c>
      <c r="AX45" s="62" t="e">
        <f t="shared" si="7"/>
        <v>#DIV/0!</v>
      </c>
      <c r="AY45" s="30">
        <f t="shared" si="8"/>
        <v>0</v>
      </c>
      <c r="AZ45" s="62" t="e">
        <f t="shared" si="9"/>
        <v>#DIV/0!</v>
      </c>
      <c r="BA45" s="30">
        <f t="shared" si="10"/>
        <v>0</v>
      </c>
      <c r="BB45" s="62" t="e">
        <f t="shared" si="11"/>
        <v>#DIV/0!</v>
      </c>
      <c r="BD45" s="30">
        <f t="shared" si="12"/>
        <v>0</v>
      </c>
      <c r="BE45" s="62" t="e">
        <f t="shared" ca="1" si="13"/>
        <v>#REF!</v>
      </c>
    </row>
    <row r="46" spans="1:57" ht="15" customHeight="1" thickBot="1" x14ac:dyDescent="0.3">
      <c r="A46" s="68">
        <v>35</v>
      </c>
      <c r="B46" s="67"/>
      <c r="C46" s="69"/>
      <c r="D46" s="66"/>
      <c r="E46" s="66"/>
      <c r="F46" s="54"/>
      <c r="G46" s="54"/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55">
        <f t="shared" si="0"/>
        <v>0</v>
      </c>
      <c r="AN46" s="55">
        <f t="shared" si="1"/>
        <v>0</v>
      </c>
      <c r="AO46" s="72"/>
      <c r="AP46" s="74" t="str">
        <f t="shared" si="2"/>
        <v/>
      </c>
      <c r="AQ46" s="74" t="str">
        <f t="shared" si="3"/>
        <v/>
      </c>
      <c r="AS46" s="67"/>
      <c r="AU46" s="30">
        <f t="shared" si="4"/>
        <v>0</v>
      </c>
      <c r="AV46" s="62">
        <f t="shared" ca="1" si="5"/>
        <v>0</v>
      </c>
      <c r="AW46" s="30">
        <f t="shared" si="6"/>
        <v>0</v>
      </c>
      <c r="AX46" s="62" t="e">
        <f t="shared" si="7"/>
        <v>#DIV/0!</v>
      </c>
      <c r="AY46" s="30">
        <f t="shared" si="8"/>
        <v>0</v>
      </c>
      <c r="AZ46" s="62" t="e">
        <f t="shared" si="9"/>
        <v>#DIV/0!</v>
      </c>
      <c r="BA46" s="30">
        <f t="shared" si="10"/>
        <v>0</v>
      </c>
      <c r="BB46" s="62" t="e">
        <f t="shared" si="11"/>
        <v>#DIV/0!</v>
      </c>
      <c r="BD46" s="30">
        <f t="shared" si="12"/>
        <v>0</v>
      </c>
      <c r="BE46" s="62" t="e">
        <f t="shared" ca="1" si="13"/>
        <v>#REF!</v>
      </c>
    </row>
    <row r="47" spans="1:57" ht="15" customHeight="1" thickBot="1" x14ac:dyDescent="0.3">
      <c r="A47" s="68">
        <v>36</v>
      </c>
      <c r="B47" s="67"/>
      <c r="C47" s="69"/>
      <c r="D47" s="66"/>
      <c r="E47" s="66"/>
      <c r="F47" s="54"/>
      <c r="G47" s="54"/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55">
        <f t="shared" si="0"/>
        <v>0</v>
      </c>
      <c r="AN47" s="55">
        <f t="shared" si="1"/>
        <v>0</v>
      </c>
      <c r="AO47" s="72"/>
      <c r="AP47" s="74" t="str">
        <f t="shared" si="2"/>
        <v/>
      </c>
      <c r="AQ47" s="74" t="str">
        <f t="shared" si="3"/>
        <v/>
      </c>
      <c r="AS47" s="67"/>
      <c r="AU47" s="30">
        <f t="shared" si="4"/>
        <v>0</v>
      </c>
      <c r="AV47" s="62">
        <f t="shared" ca="1" si="5"/>
        <v>0</v>
      </c>
      <c r="AW47" s="30">
        <f t="shared" si="6"/>
        <v>0</v>
      </c>
      <c r="AX47" s="62" t="e">
        <f t="shared" si="7"/>
        <v>#DIV/0!</v>
      </c>
      <c r="AY47" s="30">
        <f t="shared" si="8"/>
        <v>0</v>
      </c>
      <c r="AZ47" s="62" t="e">
        <f t="shared" si="9"/>
        <v>#DIV/0!</v>
      </c>
      <c r="BA47" s="30">
        <f t="shared" si="10"/>
        <v>0</v>
      </c>
      <c r="BB47" s="62" t="e">
        <f t="shared" si="11"/>
        <v>#DIV/0!</v>
      </c>
      <c r="BD47" s="30">
        <f t="shared" si="12"/>
        <v>0</v>
      </c>
      <c r="BE47" s="62" t="e">
        <f t="shared" ca="1" si="13"/>
        <v>#REF!</v>
      </c>
    </row>
    <row r="48" spans="1:57" ht="15" customHeight="1" thickBot="1" x14ac:dyDescent="0.3">
      <c r="A48" s="68">
        <v>37</v>
      </c>
      <c r="B48" s="67"/>
      <c r="C48" s="69"/>
      <c r="D48" s="66"/>
      <c r="E48" s="66"/>
      <c r="F48" s="54"/>
      <c r="G48" s="54"/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M48" s="55">
        <f t="shared" si="0"/>
        <v>0</v>
      </c>
      <c r="AN48" s="55">
        <f t="shared" si="1"/>
        <v>0</v>
      </c>
      <c r="AO48" s="72"/>
      <c r="AP48" s="74" t="str">
        <f t="shared" si="2"/>
        <v/>
      </c>
      <c r="AQ48" s="74" t="str">
        <f t="shared" si="3"/>
        <v/>
      </c>
      <c r="AS48" s="67"/>
      <c r="AU48" s="30">
        <f t="shared" si="4"/>
        <v>0</v>
      </c>
      <c r="AV48" s="62">
        <f t="shared" ca="1" si="5"/>
        <v>0</v>
      </c>
      <c r="AW48" s="30">
        <f t="shared" si="6"/>
        <v>0</v>
      </c>
      <c r="AX48" s="62" t="e">
        <f t="shared" si="7"/>
        <v>#DIV/0!</v>
      </c>
      <c r="AY48" s="30">
        <f t="shared" si="8"/>
        <v>0</v>
      </c>
      <c r="AZ48" s="62" t="e">
        <f t="shared" si="9"/>
        <v>#DIV/0!</v>
      </c>
      <c r="BA48" s="30">
        <f t="shared" si="10"/>
        <v>0</v>
      </c>
      <c r="BB48" s="62" t="e">
        <f t="shared" si="11"/>
        <v>#DIV/0!</v>
      </c>
      <c r="BD48" s="30">
        <f t="shared" si="12"/>
        <v>0</v>
      </c>
      <c r="BE48" s="62" t="e">
        <f t="shared" ca="1" si="13"/>
        <v>#REF!</v>
      </c>
    </row>
    <row r="49" spans="1:57" ht="15" customHeight="1" thickBot="1" x14ac:dyDescent="0.3">
      <c r="A49" s="68">
        <v>38</v>
      </c>
      <c r="B49" s="67"/>
      <c r="C49" s="69"/>
      <c r="D49" s="66"/>
      <c r="E49" s="66"/>
      <c r="F49" s="54"/>
      <c r="G49" s="54"/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55">
        <f t="shared" si="0"/>
        <v>0</v>
      </c>
      <c r="AN49" s="55">
        <f t="shared" si="1"/>
        <v>0</v>
      </c>
      <c r="AO49" s="72"/>
      <c r="AP49" s="74" t="str">
        <f t="shared" si="2"/>
        <v/>
      </c>
      <c r="AQ49" s="74" t="str">
        <f t="shared" si="3"/>
        <v/>
      </c>
      <c r="AS49" s="67"/>
      <c r="AU49" s="30">
        <f t="shared" si="4"/>
        <v>0</v>
      </c>
      <c r="AV49" s="62">
        <f t="shared" ca="1" si="5"/>
        <v>0</v>
      </c>
      <c r="AW49" s="30">
        <f t="shared" si="6"/>
        <v>0</v>
      </c>
      <c r="AX49" s="62" t="e">
        <f t="shared" si="7"/>
        <v>#DIV/0!</v>
      </c>
      <c r="AY49" s="30">
        <f t="shared" si="8"/>
        <v>0</v>
      </c>
      <c r="AZ49" s="62" t="e">
        <f t="shared" si="9"/>
        <v>#DIV/0!</v>
      </c>
      <c r="BA49" s="30">
        <f t="shared" si="10"/>
        <v>0</v>
      </c>
      <c r="BB49" s="62" t="e">
        <f t="shared" si="11"/>
        <v>#DIV/0!</v>
      </c>
      <c r="BD49" s="30">
        <f t="shared" si="12"/>
        <v>0</v>
      </c>
      <c r="BE49" s="62" t="e">
        <f t="shared" ca="1" si="13"/>
        <v>#REF!</v>
      </c>
    </row>
    <row r="50" spans="1:57" ht="15" customHeight="1" thickBot="1" x14ac:dyDescent="0.3">
      <c r="A50" s="68">
        <v>39</v>
      </c>
      <c r="B50" s="54"/>
      <c r="C50" s="54"/>
      <c r="D50" s="66"/>
      <c r="E50" s="66"/>
      <c r="F50" s="54"/>
      <c r="G50" s="54"/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55">
        <f t="shared" si="0"/>
        <v>0</v>
      </c>
      <c r="AN50" s="55">
        <f t="shared" si="1"/>
        <v>0</v>
      </c>
      <c r="AO50" s="72"/>
      <c r="AP50" s="74" t="str">
        <f t="shared" si="2"/>
        <v/>
      </c>
      <c r="AQ50" s="74" t="str">
        <f t="shared" si="3"/>
        <v/>
      </c>
      <c r="AS50" s="54"/>
      <c r="AU50" s="30">
        <f t="shared" si="4"/>
        <v>0</v>
      </c>
      <c r="AV50" s="62">
        <f t="shared" ca="1" si="5"/>
        <v>0</v>
      </c>
      <c r="AW50" s="30">
        <f t="shared" si="6"/>
        <v>0</v>
      </c>
      <c r="AX50" s="62" t="e">
        <f t="shared" si="7"/>
        <v>#DIV/0!</v>
      </c>
      <c r="AY50" s="30">
        <f t="shared" si="8"/>
        <v>0</v>
      </c>
      <c r="AZ50" s="62" t="e">
        <f t="shared" si="9"/>
        <v>#DIV/0!</v>
      </c>
      <c r="BA50" s="30">
        <f t="shared" si="10"/>
        <v>0</v>
      </c>
      <c r="BB50" s="62" t="e">
        <f t="shared" si="11"/>
        <v>#DIV/0!</v>
      </c>
      <c r="BD50" s="30">
        <f t="shared" si="12"/>
        <v>0</v>
      </c>
      <c r="BE50" s="62" t="e">
        <f t="shared" ca="1" si="13"/>
        <v>#REF!</v>
      </c>
    </row>
    <row r="51" spans="1:57" ht="18.600000000000001" customHeight="1" thickBot="1" x14ac:dyDescent="0.3">
      <c r="A51" s="92"/>
      <c r="B51" s="93"/>
      <c r="C51" s="42"/>
      <c r="D51" s="42"/>
      <c r="E51" s="42"/>
      <c r="F51" s="42"/>
      <c r="G51" s="42"/>
      <c r="H51" s="55">
        <f t="shared" ref="H51:AN51" si="14">SUM(H11:H50)</f>
        <v>0</v>
      </c>
      <c r="I51" s="55">
        <f t="shared" si="14"/>
        <v>0</v>
      </c>
      <c r="J51" s="55">
        <f t="shared" si="14"/>
        <v>0</v>
      </c>
      <c r="K51" s="55">
        <f t="shared" si="14"/>
        <v>0</v>
      </c>
      <c r="L51" s="55">
        <f t="shared" si="14"/>
        <v>0</v>
      </c>
      <c r="M51" s="55">
        <f t="shared" si="14"/>
        <v>0</v>
      </c>
      <c r="N51" s="55">
        <f t="shared" si="14"/>
        <v>0</v>
      </c>
      <c r="O51" s="55">
        <f t="shared" si="14"/>
        <v>0</v>
      </c>
      <c r="P51" s="55">
        <f t="shared" si="14"/>
        <v>0</v>
      </c>
      <c r="Q51" s="55">
        <f t="shared" si="14"/>
        <v>0</v>
      </c>
      <c r="R51" s="55">
        <f t="shared" si="14"/>
        <v>0</v>
      </c>
      <c r="S51" s="55">
        <f t="shared" si="14"/>
        <v>0</v>
      </c>
      <c r="T51" s="55">
        <f t="shared" si="14"/>
        <v>0</v>
      </c>
      <c r="U51" s="55">
        <f t="shared" si="14"/>
        <v>0</v>
      </c>
      <c r="V51" s="55">
        <f t="shared" si="14"/>
        <v>0</v>
      </c>
      <c r="W51" s="55">
        <f t="shared" si="14"/>
        <v>0</v>
      </c>
      <c r="X51" s="55">
        <f t="shared" si="14"/>
        <v>0</v>
      </c>
      <c r="Y51" s="55">
        <f t="shared" si="14"/>
        <v>0</v>
      </c>
      <c r="Z51" s="55">
        <f t="shared" si="14"/>
        <v>0</v>
      </c>
      <c r="AA51" s="55">
        <f t="shared" si="14"/>
        <v>0</v>
      </c>
      <c r="AB51" s="55">
        <f t="shared" si="14"/>
        <v>0</v>
      </c>
      <c r="AC51" s="55">
        <f t="shared" si="14"/>
        <v>0</v>
      </c>
      <c r="AD51" s="55">
        <f t="shared" si="14"/>
        <v>0</v>
      </c>
      <c r="AE51" s="55">
        <f t="shared" si="14"/>
        <v>0</v>
      </c>
      <c r="AF51" s="55">
        <f t="shared" si="14"/>
        <v>0</v>
      </c>
      <c r="AG51" s="55">
        <f t="shared" si="14"/>
        <v>0</v>
      </c>
      <c r="AH51" s="55">
        <f t="shared" si="14"/>
        <v>0</v>
      </c>
      <c r="AI51" s="55">
        <f t="shared" si="14"/>
        <v>0</v>
      </c>
      <c r="AJ51" s="55">
        <f t="shared" si="14"/>
        <v>0</v>
      </c>
      <c r="AK51" s="55">
        <f t="shared" si="14"/>
        <v>0</v>
      </c>
      <c r="AL51" s="55">
        <f t="shared" si="14"/>
        <v>0</v>
      </c>
      <c r="AM51" s="30">
        <f t="shared" ca="1" si="14"/>
        <v>0</v>
      </c>
      <c r="AN51" s="30">
        <f t="shared" ca="1" si="14"/>
        <v>0</v>
      </c>
      <c r="AS51" s="61" t="s">
        <v>178</v>
      </c>
      <c r="AU51" s="30">
        <f t="shared" ref="AU51:BB51" ca="1" si="15">SUM(AU11:AU50)</f>
        <v>0</v>
      </c>
      <c r="AV51" s="63">
        <f t="shared" ca="1" si="15"/>
        <v>0</v>
      </c>
      <c r="AW51" s="30">
        <f t="shared" si="15"/>
        <v>0</v>
      </c>
      <c r="AX51" s="63" t="e">
        <f t="shared" si="15"/>
        <v>#DIV/0!</v>
      </c>
      <c r="AY51" s="30">
        <f t="shared" si="15"/>
        <v>0</v>
      </c>
      <c r="AZ51" s="63" t="e">
        <f t="shared" si="15"/>
        <v>#DIV/0!</v>
      </c>
      <c r="BA51" s="30">
        <f t="shared" si="15"/>
        <v>0</v>
      </c>
      <c r="BB51" s="63" t="e">
        <f t="shared" si="15"/>
        <v>#DIV/0!</v>
      </c>
      <c r="BD51" s="30" t="e">
        <f ca="1">SUM(BD11:BD50)</f>
        <v>#REF!</v>
      </c>
      <c r="BE51" s="63" t="e">
        <f ca="1">SUM(BE11:BE50)</f>
        <v>#REF!</v>
      </c>
    </row>
    <row r="52" spans="1:57" ht="15" customHeight="1" thickBot="1" x14ac:dyDescent="0.3">
      <c r="A52" s="18"/>
      <c r="B52" s="19"/>
      <c r="C52" s="19"/>
      <c r="D52" s="19"/>
      <c r="E52" s="19"/>
      <c r="F52" s="19"/>
      <c r="G52" s="19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1" t="s">
        <v>191</v>
      </c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16"/>
      <c r="AN52" s="20"/>
      <c r="AO52" s="20"/>
      <c r="AP52" s="20"/>
      <c r="AQ52" s="20"/>
    </row>
    <row r="53" spans="1:57" ht="19.8" customHeight="1" x14ac:dyDescent="0.25">
      <c r="A53" s="92" t="s">
        <v>174</v>
      </c>
      <c r="B53" s="93"/>
      <c r="C53" s="42"/>
      <c r="D53" s="42"/>
      <c r="E53" s="42"/>
      <c r="F53" s="42"/>
      <c r="G53" s="42"/>
      <c r="H53" s="111">
        <v>45689</v>
      </c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40" t="s">
        <v>954</v>
      </c>
      <c r="AN53" s="146" t="s">
        <v>953</v>
      </c>
      <c r="AO53" s="148" t="s">
        <v>955</v>
      </c>
      <c r="AP53" s="144" t="s">
        <v>958</v>
      </c>
      <c r="AQ53" s="144"/>
    </row>
    <row r="54" spans="1:57" ht="23.4" customHeight="1" thickBot="1" x14ac:dyDescent="0.3">
      <c r="A54" s="138" t="s">
        <v>948</v>
      </c>
      <c r="B54" s="138" t="s">
        <v>947</v>
      </c>
      <c r="C54" s="138" t="s">
        <v>959</v>
      </c>
      <c r="D54" s="138" t="s">
        <v>949</v>
      </c>
      <c r="E54" s="138"/>
      <c r="F54" s="142" t="s">
        <v>192</v>
      </c>
      <c r="G54" s="142" t="s">
        <v>193</v>
      </c>
      <c r="H54" s="45">
        <v>1</v>
      </c>
      <c r="I54" s="45">
        <v>2</v>
      </c>
      <c r="J54" s="45">
        <v>3</v>
      </c>
      <c r="K54" s="45">
        <v>4</v>
      </c>
      <c r="L54" s="45">
        <v>5</v>
      </c>
      <c r="M54" s="45">
        <v>6</v>
      </c>
      <c r="N54" s="45">
        <v>7</v>
      </c>
      <c r="O54" s="45">
        <v>8</v>
      </c>
      <c r="P54" s="45">
        <v>9</v>
      </c>
      <c r="Q54" s="45">
        <v>10</v>
      </c>
      <c r="R54" s="45">
        <v>11</v>
      </c>
      <c r="S54" s="45">
        <v>12</v>
      </c>
      <c r="T54" s="45">
        <v>13</v>
      </c>
      <c r="U54" s="45">
        <v>14</v>
      </c>
      <c r="V54" s="45">
        <v>15</v>
      </c>
      <c r="W54" s="45">
        <v>16</v>
      </c>
      <c r="X54" s="45">
        <v>17</v>
      </c>
      <c r="Y54" s="45">
        <v>18</v>
      </c>
      <c r="Z54" s="45">
        <v>19</v>
      </c>
      <c r="AA54" s="45">
        <v>20</v>
      </c>
      <c r="AB54" s="45">
        <v>21</v>
      </c>
      <c r="AC54" s="45">
        <v>22</v>
      </c>
      <c r="AD54" s="45">
        <v>23</v>
      </c>
      <c r="AE54" s="45">
        <v>24</v>
      </c>
      <c r="AF54" s="45">
        <v>25</v>
      </c>
      <c r="AG54" s="45">
        <v>26</v>
      </c>
      <c r="AH54" s="45">
        <v>27</v>
      </c>
      <c r="AI54" s="45">
        <v>28</v>
      </c>
      <c r="AJ54" s="45"/>
      <c r="AK54" s="45"/>
      <c r="AL54" s="45"/>
      <c r="AM54" s="140"/>
      <c r="AN54" s="146"/>
      <c r="AO54" s="148"/>
      <c r="AP54" s="150" t="s">
        <v>956</v>
      </c>
      <c r="AQ54" s="152" t="s">
        <v>957</v>
      </c>
    </row>
    <row r="55" spans="1:57" ht="30" customHeight="1" thickBot="1" x14ac:dyDescent="0.3">
      <c r="A55" s="139"/>
      <c r="B55" s="139"/>
      <c r="C55" s="145"/>
      <c r="D55" s="64" t="s">
        <v>950</v>
      </c>
      <c r="E55" s="64" t="s">
        <v>951</v>
      </c>
      <c r="F55" s="143"/>
      <c r="G55" s="143"/>
      <c r="H55" s="28" t="s">
        <v>182</v>
      </c>
      <c r="I55" s="28" t="s">
        <v>183</v>
      </c>
      <c r="J55" s="28" t="s">
        <v>179</v>
      </c>
      <c r="K55" s="28" t="s">
        <v>24</v>
      </c>
      <c r="L55" s="28" t="s">
        <v>24</v>
      </c>
      <c r="M55" s="28" t="s">
        <v>180</v>
      </c>
      <c r="N55" s="28" t="s">
        <v>181</v>
      </c>
      <c r="O55" s="28" t="s">
        <v>182</v>
      </c>
      <c r="P55" s="28" t="s">
        <v>183</v>
      </c>
      <c r="Q55" s="28" t="s">
        <v>179</v>
      </c>
      <c r="R55" s="28" t="s">
        <v>24</v>
      </c>
      <c r="S55" s="28" t="s">
        <v>24</v>
      </c>
      <c r="T55" s="28" t="s">
        <v>180</v>
      </c>
      <c r="U55" s="28" t="s">
        <v>181</v>
      </c>
      <c r="V55" s="28" t="s">
        <v>182</v>
      </c>
      <c r="W55" s="28" t="s">
        <v>183</v>
      </c>
      <c r="X55" s="28" t="s">
        <v>179</v>
      </c>
      <c r="Y55" s="28" t="s">
        <v>24</v>
      </c>
      <c r="Z55" s="28" t="s">
        <v>24</v>
      </c>
      <c r="AA55" s="28" t="s">
        <v>180</v>
      </c>
      <c r="AB55" s="28" t="s">
        <v>181</v>
      </c>
      <c r="AC55" s="28" t="s">
        <v>182</v>
      </c>
      <c r="AD55" s="28" t="s">
        <v>183</v>
      </c>
      <c r="AE55" s="28" t="s">
        <v>179</v>
      </c>
      <c r="AF55" s="28" t="s">
        <v>24</v>
      </c>
      <c r="AG55" s="28" t="s">
        <v>24</v>
      </c>
      <c r="AH55" s="28" t="s">
        <v>180</v>
      </c>
      <c r="AI55" s="28" t="s">
        <v>181</v>
      </c>
      <c r="AJ55" s="28"/>
      <c r="AK55" s="28"/>
      <c r="AL55" s="28"/>
      <c r="AM55" s="141"/>
      <c r="AN55" s="147"/>
      <c r="AO55" s="149"/>
      <c r="AP55" s="151"/>
      <c r="AQ55" s="153"/>
    </row>
    <row r="56" spans="1:57" ht="13.8" thickBot="1" x14ac:dyDescent="0.3">
      <c r="A56" s="68">
        <v>1</v>
      </c>
      <c r="B56" s="67" t="s">
        <v>965</v>
      </c>
      <c r="C56" s="66" t="s">
        <v>960</v>
      </c>
      <c r="D56" s="66" t="s">
        <v>213</v>
      </c>
      <c r="E56" s="69" t="s">
        <v>197</v>
      </c>
      <c r="F56" s="54"/>
      <c r="G56" s="54"/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/>
      <c r="AK56" s="30"/>
      <c r="AL56" s="30"/>
      <c r="AM56" s="55">
        <f>SUM(H56:AL56)</f>
        <v>0</v>
      </c>
      <c r="AN56" s="55">
        <f>F56+G56-AM56</f>
        <v>0</v>
      </c>
      <c r="AO56" s="72"/>
      <c r="AP56" s="74" t="str">
        <f>IF(AO56="","",IF($A$2&lt;=AO56,IF((AO56-$A$2)&lt;=90,"ALERTA","A TIEMPO"),"CADUCADO"))</f>
        <v/>
      </c>
      <c r="AQ56" s="74" t="str">
        <f>IF(AO56="","",AO56-$A$2)</f>
        <v/>
      </c>
    </row>
    <row r="57" spans="1:57" ht="13.8" thickBot="1" x14ac:dyDescent="0.3">
      <c r="A57" s="68">
        <v>2</v>
      </c>
      <c r="B57" s="67" t="s">
        <v>965</v>
      </c>
      <c r="C57" s="66" t="s">
        <v>960</v>
      </c>
      <c r="D57" s="66" t="s">
        <v>224</v>
      </c>
      <c r="E57" s="71">
        <v>0.01</v>
      </c>
      <c r="F57" s="54"/>
      <c r="G57" s="54"/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/>
      <c r="AK57" s="30"/>
      <c r="AL57" s="30"/>
      <c r="AM57" s="55">
        <f t="shared" ref="AM57:AM95" si="16">SUM(H57:AL57)</f>
        <v>0</v>
      </c>
      <c r="AN57" s="55">
        <f t="shared" ref="AN57:AN95" si="17">F57+G57-AM57</f>
        <v>0</v>
      </c>
      <c r="AO57" s="72"/>
      <c r="AP57" s="74" t="str">
        <f t="shared" ref="AP57:AP95" si="18">IF(AO57="","",IF($A$2&lt;=AO57,IF((AO57-$A$2)&lt;=90,"ALERTA","A TIEMPO"),"CADUCADO"))</f>
        <v/>
      </c>
      <c r="AQ57" s="74" t="str">
        <f t="shared" ref="AQ57:AQ95" si="19">IF(AO57="","",AO57-$A$2)</f>
        <v/>
      </c>
    </row>
    <row r="58" spans="1:57" ht="13.8" thickBot="1" x14ac:dyDescent="0.3">
      <c r="A58" s="68">
        <v>3</v>
      </c>
      <c r="B58" s="67" t="s">
        <v>211</v>
      </c>
      <c r="C58" s="66" t="s">
        <v>960</v>
      </c>
      <c r="D58" s="66" t="s">
        <v>198</v>
      </c>
      <c r="E58" s="69" t="s">
        <v>964</v>
      </c>
      <c r="F58" s="54"/>
      <c r="G58" s="54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/>
      <c r="AK58" s="30"/>
      <c r="AL58" s="30"/>
      <c r="AM58" s="55">
        <f t="shared" si="16"/>
        <v>0</v>
      </c>
      <c r="AN58" s="55">
        <f t="shared" si="17"/>
        <v>0</v>
      </c>
      <c r="AO58" s="72"/>
      <c r="AP58" s="74" t="str">
        <f t="shared" si="18"/>
        <v/>
      </c>
      <c r="AQ58" s="74" t="str">
        <f t="shared" si="19"/>
        <v/>
      </c>
    </row>
    <row r="59" spans="1:57" ht="13.8" thickBot="1" x14ac:dyDescent="0.3">
      <c r="A59" s="68">
        <v>4</v>
      </c>
      <c r="B59" s="67" t="s">
        <v>985</v>
      </c>
      <c r="C59" s="66" t="s">
        <v>960</v>
      </c>
      <c r="D59" s="66" t="s">
        <v>198</v>
      </c>
      <c r="E59" s="70" t="s">
        <v>986</v>
      </c>
      <c r="F59" s="54"/>
      <c r="G59" s="54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/>
      <c r="AK59" s="30"/>
      <c r="AL59" s="30"/>
      <c r="AM59" s="55">
        <f t="shared" si="16"/>
        <v>0</v>
      </c>
      <c r="AN59" s="55">
        <f t="shared" si="17"/>
        <v>0</v>
      </c>
      <c r="AO59" s="72"/>
      <c r="AP59" s="74" t="str">
        <f t="shared" si="18"/>
        <v/>
      </c>
      <c r="AQ59" s="74" t="str">
        <f t="shared" si="19"/>
        <v/>
      </c>
    </row>
    <row r="60" spans="1:57" ht="13.8" thickBot="1" x14ac:dyDescent="0.3">
      <c r="A60" s="68">
        <v>4</v>
      </c>
      <c r="B60" s="67" t="s">
        <v>963</v>
      </c>
      <c r="C60" s="66" t="s">
        <v>960</v>
      </c>
      <c r="D60" s="66" t="s">
        <v>213</v>
      </c>
      <c r="E60" s="70" t="s">
        <v>13</v>
      </c>
      <c r="F60" s="54"/>
      <c r="G60" s="54"/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/>
      <c r="AK60" s="30"/>
      <c r="AL60" s="30"/>
      <c r="AM60" s="55">
        <f t="shared" si="16"/>
        <v>0</v>
      </c>
      <c r="AN60" s="55">
        <f t="shared" si="17"/>
        <v>0</v>
      </c>
      <c r="AO60" s="72"/>
      <c r="AP60" s="74" t="str">
        <f t="shared" si="18"/>
        <v/>
      </c>
      <c r="AQ60" s="74" t="str">
        <f t="shared" si="19"/>
        <v/>
      </c>
    </row>
    <row r="61" spans="1:57" ht="13.8" thickBot="1" x14ac:dyDescent="0.3">
      <c r="A61" s="68">
        <v>5</v>
      </c>
      <c r="B61" s="67" t="s">
        <v>228</v>
      </c>
      <c r="C61" s="66" t="s">
        <v>960</v>
      </c>
      <c r="D61" s="66" t="s">
        <v>213</v>
      </c>
      <c r="E61" s="69" t="s">
        <v>229</v>
      </c>
      <c r="F61" s="54"/>
      <c r="G61" s="54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/>
      <c r="AK61" s="30"/>
      <c r="AL61" s="30"/>
      <c r="AM61" s="55">
        <f t="shared" si="16"/>
        <v>0</v>
      </c>
      <c r="AN61" s="55">
        <f t="shared" si="17"/>
        <v>0</v>
      </c>
      <c r="AO61" s="72"/>
      <c r="AP61" s="74" t="str">
        <f t="shared" si="18"/>
        <v/>
      </c>
      <c r="AQ61" s="74" t="str">
        <f t="shared" si="19"/>
        <v/>
      </c>
    </row>
    <row r="62" spans="1:57" ht="13.8" thickBot="1" x14ac:dyDescent="0.3">
      <c r="A62" s="68">
        <v>6</v>
      </c>
      <c r="B62" s="67" t="s">
        <v>968</v>
      </c>
      <c r="C62" s="66" t="s">
        <v>960</v>
      </c>
      <c r="D62" s="66" t="s">
        <v>198</v>
      </c>
      <c r="E62" s="69" t="s">
        <v>199</v>
      </c>
      <c r="F62" s="54"/>
      <c r="G62" s="54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G62" s="30">
        <v>0</v>
      </c>
      <c r="AH62" s="30">
        <v>0</v>
      </c>
      <c r="AI62" s="30">
        <v>0</v>
      </c>
      <c r="AJ62" s="30"/>
      <c r="AK62" s="30"/>
      <c r="AL62" s="30"/>
      <c r="AM62" s="55">
        <f t="shared" si="16"/>
        <v>0</v>
      </c>
      <c r="AN62" s="55">
        <f t="shared" si="17"/>
        <v>0</v>
      </c>
      <c r="AO62" s="72"/>
      <c r="AP62" s="74" t="str">
        <f t="shared" si="18"/>
        <v/>
      </c>
      <c r="AQ62" s="74" t="str">
        <f t="shared" si="19"/>
        <v/>
      </c>
    </row>
    <row r="63" spans="1:57" ht="13.8" thickBot="1" x14ac:dyDescent="0.3">
      <c r="A63" s="68">
        <v>7</v>
      </c>
      <c r="B63" s="67" t="s">
        <v>220</v>
      </c>
      <c r="C63" s="66" t="s">
        <v>960</v>
      </c>
      <c r="D63" s="66" t="s">
        <v>198</v>
      </c>
      <c r="E63" s="69" t="s">
        <v>195</v>
      </c>
      <c r="F63" s="54"/>
      <c r="G63" s="54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/>
      <c r="AK63" s="30"/>
      <c r="AL63" s="30"/>
      <c r="AM63" s="55">
        <f t="shared" si="16"/>
        <v>0</v>
      </c>
      <c r="AN63" s="55">
        <f t="shared" si="17"/>
        <v>0</v>
      </c>
      <c r="AO63" s="72"/>
      <c r="AP63" s="74" t="str">
        <f t="shared" si="18"/>
        <v/>
      </c>
      <c r="AQ63" s="74" t="str">
        <f t="shared" si="19"/>
        <v/>
      </c>
    </row>
    <row r="64" spans="1:57" ht="13.8" thickBot="1" x14ac:dyDescent="0.3">
      <c r="A64" s="68">
        <v>8</v>
      </c>
      <c r="B64" s="67" t="s">
        <v>962</v>
      </c>
      <c r="C64" s="66" t="s">
        <v>960</v>
      </c>
      <c r="D64" s="66" t="s">
        <v>198</v>
      </c>
      <c r="E64" s="69" t="s">
        <v>961</v>
      </c>
      <c r="F64" s="54"/>
      <c r="G64" s="54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/>
      <c r="AK64" s="30"/>
      <c r="AL64" s="30"/>
      <c r="AM64" s="55">
        <f t="shared" si="16"/>
        <v>0</v>
      </c>
      <c r="AN64" s="55">
        <f t="shared" si="17"/>
        <v>0</v>
      </c>
      <c r="AO64" s="72"/>
      <c r="AP64" s="74" t="str">
        <f t="shared" si="18"/>
        <v/>
      </c>
      <c r="AQ64" s="74" t="str">
        <f t="shared" si="19"/>
        <v/>
      </c>
    </row>
    <row r="65" spans="1:43" ht="13.8" thickBot="1" x14ac:dyDescent="0.3">
      <c r="A65" s="68">
        <v>9</v>
      </c>
      <c r="B65" s="67" t="s">
        <v>966</v>
      </c>
      <c r="C65" s="66" t="s">
        <v>960</v>
      </c>
      <c r="D65" s="66" t="s">
        <v>201</v>
      </c>
      <c r="E65" s="69" t="s">
        <v>967</v>
      </c>
      <c r="F65" s="54"/>
      <c r="G65" s="54"/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/>
      <c r="AK65" s="30"/>
      <c r="AL65" s="30"/>
      <c r="AM65" s="55">
        <f t="shared" si="16"/>
        <v>0</v>
      </c>
      <c r="AN65" s="55">
        <f t="shared" si="17"/>
        <v>0</v>
      </c>
      <c r="AO65" s="72"/>
      <c r="AP65" s="74" t="str">
        <f t="shared" si="18"/>
        <v/>
      </c>
      <c r="AQ65" s="74" t="str">
        <f t="shared" si="19"/>
        <v/>
      </c>
    </row>
    <row r="66" spans="1:43" ht="13.8" thickBot="1" x14ac:dyDescent="0.3">
      <c r="A66" s="68">
        <v>10</v>
      </c>
      <c r="B66" s="67" t="s">
        <v>194</v>
      </c>
      <c r="C66" s="66" t="s">
        <v>969</v>
      </c>
      <c r="D66" s="66" t="s">
        <v>198</v>
      </c>
      <c r="E66" s="69" t="s">
        <v>195</v>
      </c>
      <c r="F66" s="54"/>
      <c r="G66" s="54"/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/>
      <c r="AK66" s="30"/>
      <c r="AL66" s="30"/>
      <c r="AM66" s="55">
        <f t="shared" si="16"/>
        <v>0</v>
      </c>
      <c r="AN66" s="55">
        <f t="shared" si="17"/>
        <v>0</v>
      </c>
      <c r="AO66" s="72"/>
      <c r="AP66" s="74" t="str">
        <f t="shared" si="18"/>
        <v/>
      </c>
      <c r="AQ66" s="74" t="str">
        <f t="shared" si="19"/>
        <v/>
      </c>
    </row>
    <row r="67" spans="1:43" ht="13.8" thickBot="1" x14ac:dyDescent="0.3">
      <c r="A67" s="68">
        <v>11</v>
      </c>
      <c r="B67" s="67" t="s">
        <v>200</v>
      </c>
      <c r="C67" s="66" t="s">
        <v>969</v>
      </c>
      <c r="D67" s="66" t="s">
        <v>198</v>
      </c>
      <c r="E67" s="69" t="s">
        <v>970</v>
      </c>
      <c r="F67" s="54"/>
      <c r="G67" s="54"/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/>
      <c r="AK67" s="30"/>
      <c r="AL67" s="30"/>
      <c r="AM67" s="55">
        <f t="shared" si="16"/>
        <v>0</v>
      </c>
      <c r="AN67" s="55">
        <f t="shared" si="17"/>
        <v>0</v>
      </c>
      <c r="AO67" s="72"/>
      <c r="AP67" s="74" t="str">
        <f t="shared" si="18"/>
        <v/>
      </c>
      <c r="AQ67" s="74" t="str">
        <f t="shared" si="19"/>
        <v/>
      </c>
    </row>
    <row r="68" spans="1:43" ht="13.8" thickBot="1" x14ac:dyDescent="0.3">
      <c r="A68" s="68">
        <v>12</v>
      </c>
      <c r="B68" s="67" t="s">
        <v>972</v>
      </c>
      <c r="C68" s="69" t="s">
        <v>971</v>
      </c>
      <c r="D68" s="66" t="s">
        <v>213</v>
      </c>
      <c r="E68" s="69" t="s">
        <v>203</v>
      </c>
      <c r="F68" s="54"/>
      <c r="G68" s="54"/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/>
      <c r="AK68" s="30"/>
      <c r="AL68" s="30"/>
      <c r="AM68" s="55">
        <f t="shared" si="16"/>
        <v>0</v>
      </c>
      <c r="AN68" s="55">
        <f t="shared" si="17"/>
        <v>0</v>
      </c>
      <c r="AO68" s="72"/>
      <c r="AP68" s="74" t="str">
        <f t="shared" si="18"/>
        <v/>
      </c>
      <c r="AQ68" s="74" t="str">
        <f t="shared" si="19"/>
        <v/>
      </c>
    </row>
    <row r="69" spans="1:43" ht="13.8" thickBot="1" x14ac:dyDescent="0.3">
      <c r="A69" s="68">
        <v>13</v>
      </c>
      <c r="B69" s="67" t="s">
        <v>212</v>
      </c>
      <c r="C69" s="69" t="s">
        <v>971</v>
      </c>
      <c r="D69" s="66" t="s">
        <v>213</v>
      </c>
      <c r="E69" s="69" t="s">
        <v>203</v>
      </c>
      <c r="F69" s="54"/>
      <c r="G69" s="54"/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/>
      <c r="AK69" s="30"/>
      <c r="AL69" s="30"/>
      <c r="AM69" s="55">
        <f t="shared" si="16"/>
        <v>0</v>
      </c>
      <c r="AN69" s="55">
        <f t="shared" si="17"/>
        <v>0</v>
      </c>
      <c r="AO69" s="72"/>
      <c r="AP69" s="74" t="str">
        <f t="shared" si="18"/>
        <v/>
      </c>
      <c r="AQ69" s="74" t="str">
        <f t="shared" si="19"/>
        <v/>
      </c>
    </row>
    <row r="70" spans="1:43" ht="13.8" thickBot="1" x14ac:dyDescent="0.3">
      <c r="A70" s="68">
        <v>14</v>
      </c>
      <c r="B70" s="67" t="s">
        <v>204</v>
      </c>
      <c r="C70" s="69" t="s">
        <v>46</v>
      </c>
      <c r="D70" s="66" t="s">
        <v>198</v>
      </c>
      <c r="E70" s="70" t="s">
        <v>13</v>
      </c>
      <c r="F70" s="54"/>
      <c r="G70" s="54"/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/>
      <c r="AK70" s="30"/>
      <c r="AL70" s="30"/>
      <c r="AM70" s="55">
        <f t="shared" si="16"/>
        <v>0</v>
      </c>
      <c r="AN70" s="55">
        <f t="shared" si="17"/>
        <v>0</v>
      </c>
      <c r="AO70" s="72"/>
      <c r="AP70" s="74" t="str">
        <f t="shared" si="18"/>
        <v/>
      </c>
      <c r="AQ70" s="74" t="str">
        <f t="shared" si="19"/>
        <v/>
      </c>
    </row>
    <row r="71" spans="1:43" ht="13.8" thickBot="1" x14ac:dyDescent="0.3">
      <c r="A71" s="68">
        <v>15</v>
      </c>
      <c r="B71" s="67" t="s">
        <v>973</v>
      </c>
      <c r="C71" s="69" t="s">
        <v>46</v>
      </c>
      <c r="D71" s="66" t="s">
        <v>201</v>
      </c>
      <c r="E71" s="69" t="s">
        <v>203</v>
      </c>
      <c r="F71" s="54"/>
      <c r="G71" s="54"/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/>
      <c r="AK71" s="30"/>
      <c r="AL71" s="30"/>
      <c r="AM71" s="55">
        <f t="shared" si="16"/>
        <v>0</v>
      </c>
      <c r="AN71" s="55">
        <f t="shared" si="17"/>
        <v>0</v>
      </c>
      <c r="AO71" s="72"/>
      <c r="AP71" s="74" t="str">
        <f t="shared" si="18"/>
        <v/>
      </c>
      <c r="AQ71" s="74" t="str">
        <f t="shared" si="19"/>
        <v/>
      </c>
    </row>
    <row r="72" spans="1:43" ht="13.8" thickBot="1" x14ac:dyDescent="0.3">
      <c r="A72" s="68">
        <v>16</v>
      </c>
      <c r="B72" s="67" t="s">
        <v>218</v>
      </c>
      <c r="C72" s="69" t="s">
        <v>46</v>
      </c>
      <c r="D72" s="66" t="s">
        <v>198</v>
      </c>
      <c r="E72" s="69" t="s">
        <v>975</v>
      </c>
      <c r="F72" s="54"/>
      <c r="G72" s="54"/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/>
      <c r="AK72" s="30"/>
      <c r="AL72" s="30"/>
      <c r="AM72" s="55">
        <f t="shared" si="16"/>
        <v>0</v>
      </c>
      <c r="AN72" s="55">
        <f t="shared" si="17"/>
        <v>0</v>
      </c>
      <c r="AO72" s="72"/>
      <c r="AP72" s="74" t="str">
        <f t="shared" si="18"/>
        <v/>
      </c>
      <c r="AQ72" s="74" t="str">
        <f t="shared" si="19"/>
        <v/>
      </c>
    </row>
    <row r="73" spans="1:43" ht="13.8" thickBot="1" x14ac:dyDescent="0.3">
      <c r="A73" s="68">
        <v>17</v>
      </c>
      <c r="B73" s="67" t="s">
        <v>974</v>
      </c>
      <c r="C73" s="69" t="s">
        <v>46</v>
      </c>
      <c r="D73" s="66" t="s">
        <v>210</v>
      </c>
      <c r="E73" s="70" t="s">
        <v>13</v>
      </c>
      <c r="F73" s="54"/>
      <c r="G73" s="54"/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/>
      <c r="AK73" s="30"/>
      <c r="AL73" s="30"/>
      <c r="AM73" s="55">
        <f t="shared" si="16"/>
        <v>0</v>
      </c>
      <c r="AN73" s="55">
        <f t="shared" si="17"/>
        <v>0</v>
      </c>
      <c r="AO73" s="72"/>
      <c r="AP73" s="74" t="str">
        <f t="shared" si="18"/>
        <v/>
      </c>
      <c r="AQ73" s="74" t="str">
        <f t="shared" si="19"/>
        <v/>
      </c>
    </row>
    <row r="74" spans="1:43" ht="13.8" thickBot="1" x14ac:dyDescent="0.3">
      <c r="A74" s="68">
        <v>18</v>
      </c>
      <c r="B74" s="67" t="s">
        <v>221</v>
      </c>
      <c r="C74" s="69" t="s">
        <v>46</v>
      </c>
      <c r="D74" s="66" t="s">
        <v>976</v>
      </c>
      <c r="E74" s="70" t="s">
        <v>13</v>
      </c>
      <c r="F74" s="54"/>
      <c r="G74" s="54"/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/>
      <c r="AK74" s="30"/>
      <c r="AL74" s="30"/>
      <c r="AM74" s="55">
        <f t="shared" si="16"/>
        <v>0</v>
      </c>
      <c r="AN74" s="55">
        <f t="shared" si="17"/>
        <v>0</v>
      </c>
      <c r="AO74" s="72"/>
      <c r="AP74" s="74" t="str">
        <f t="shared" si="18"/>
        <v/>
      </c>
      <c r="AQ74" s="74" t="str">
        <f t="shared" si="19"/>
        <v/>
      </c>
    </row>
    <row r="75" spans="1:43" ht="13.8" thickBot="1" x14ac:dyDescent="0.3">
      <c r="A75" s="68">
        <v>19</v>
      </c>
      <c r="B75" s="67" t="s">
        <v>223</v>
      </c>
      <c r="C75" s="69" t="s">
        <v>977</v>
      </c>
      <c r="D75" s="66" t="s">
        <v>224</v>
      </c>
      <c r="E75" s="69" t="s">
        <v>978</v>
      </c>
      <c r="F75" s="54"/>
      <c r="G75" s="54"/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/>
      <c r="AK75" s="30"/>
      <c r="AL75" s="30"/>
      <c r="AM75" s="55">
        <f t="shared" si="16"/>
        <v>0</v>
      </c>
      <c r="AN75" s="55">
        <f t="shared" si="17"/>
        <v>0</v>
      </c>
      <c r="AO75" s="72"/>
      <c r="AP75" s="74" t="str">
        <f t="shared" si="18"/>
        <v/>
      </c>
      <c r="AQ75" s="74" t="str">
        <f t="shared" si="19"/>
        <v/>
      </c>
    </row>
    <row r="76" spans="1:43" ht="13.8" thickBot="1" x14ac:dyDescent="0.3">
      <c r="A76" s="68">
        <v>20</v>
      </c>
      <c r="B76" s="67" t="s">
        <v>205</v>
      </c>
      <c r="C76" s="69" t="s">
        <v>979</v>
      </c>
      <c r="D76" s="66" t="s">
        <v>201</v>
      </c>
      <c r="E76" s="70" t="s">
        <v>13</v>
      </c>
      <c r="F76" s="54"/>
      <c r="G76" s="54"/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30">
        <v>0</v>
      </c>
      <c r="AJ76" s="30"/>
      <c r="AK76" s="30"/>
      <c r="AL76" s="30"/>
      <c r="AM76" s="55">
        <f t="shared" si="16"/>
        <v>0</v>
      </c>
      <c r="AN76" s="55">
        <f t="shared" si="17"/>
        <v>0</v>
      </c>
      <c r="AO76" s="72"/>
      <c r="AP76" s="74" t="str">
        <f t="shared" si="18"/>
        <v/>
      </c>
      <c r="AQ76" s="74" t="str">
        <f t="shared" si="19"/>
        <v/>
      </c>
    </row>
    <row r="77" spans="1:43" ht="13.8" thickBot="1" x14ac:dyDescent="0.3">
      <c r="A77" s="68">
        <v>21</v>
      </c>
      <c r="B77" s="67" t="s">
        <v>209</v>
      </c>
      <c r="C77" s="69" t="s">
        <v>979</v>
      </c>
      <c r="D77" s="66" t="s">
        <v>210</v>
      </c>
      <c r="E77" s="70" t="s">
        <v>13</v>
      </c>
      <c r="F77" s="54"/>
      <c r="G77" s="54"/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/>
      <c r="AK77" s="30"/>
      <c r="AL77" s="30"/>
      <c r="AM77" s="55">
        <f t="shared" si="16"/>
        <v>0</v>
      </c>
      <c r="AN77" s="55">
        <f t="shared" si="17"/>
        <v>0</v>
      </c>
      <c r="AO77" s="72"/>
      <c r="AP77" s="74" t="str">
        <f t="shared" si="18"/>
        <v/>
      </c>
      <c r="AQ77" s="74" t="str">
        <f t="shared" si="19"/>
        <v/>
      </c>
    </row>
    <row r="78" spans="1:43" ht="13.8" thickBot="1" x14ac:dyDescent="0.3">
      <c r="A78" s="68">
        <v>22</v>
      </c>
      <c r="B78" s="67" t="s">
        <v>207</v>
      </c>
      <c r="C78" s="69" t="s">
        <v>980</v>
      </c>
      <c r="D78" s="66" t="s">
        <v>201</v>
      </c>
      <c r="E78" s="69" t="s">
        <v>208</v>
      </c>
      <c r="F78" s="54"/>
      <c r="G78" s="54"/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/>
      <c r="AK78" s="30"/>
      <c r="AL78" s="30"/>
      <c r="AM78" s="55">
        <f t="shared" si="16"/>
        <v>0</v>
      </c>
      <c r="AN78" s="55">
        <f t="shared" si="17"/>
        <v>0</v>
      </c>
      <c r="AO78" s="72"/>
      <c r="AP78" s="74" t="str">
        <f t="shared" si="18"/>
        <v/>
      </c>
      <c r="AQ78" s="74" t="str">
        <f t="shared" si="19"/>
        <v/>
      </c>
    </row>
    <row r="79" spans="1:43" ht="13.8" thickBot="1" x14ac:dyDescent="0.3">
      <c r="A79" s="68">
        <v>23</v>
      </c>
      <c r="B79" s="67" t="s">
        <v>982</v>
      </c>
      <c r="C79" s="69" t="s">
        <v>981</v>
      </c>
      <c r="D79" s="66" t="s">
        <v>201</v>
      </c>
      <c r="E79" s="71">
        <v>0.02</v>
      </c>
      <c r="F79" s="54"/>
      <c r="G79" s="54"/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/>
      <c r="AK79" s="30"/>
      <c r="AL79" s="30"/>
      <c r="AM79" s="55">
        <f t="shared" si="16"/>
        <v>0</v>
      </c>
      <c r="AN79" s="55">
        <f t="shared" si="17"/>
        <v>0</v>
      </c>
      <c r="AO79" s="72"/>
      <c r="AP79" s="74" t="str">
        <f t="shared" si="18"/>
        <v/>
      </c>
      <c r="AQ79" s="74" t="str">
        <f t="shared" si="19"/>
        <v/>
      </c>
    </row>
    <row r="80" spans="1:43" ht="13.8" thickBot="1" x14ac:dyDescent="0.3">
      <c r="A80" s="68">
        <v>24</v>
      </c>
      <c r="B80" s="67" t="s">
        <v>216</v>
      </c>
      <c r="C80" s="69" t="s">
        <v>983</v>
      </c>
      <c r="D80" s="66" t="s">
        <v>213</v>
      </c>
      <c r="E80" s="70" t="s">
        <v>13</v>
      </c>
      <c r="F80" s="54"/>
      <c r="G80" s="54"/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/>
      <c r="AK80" s="30"/>
      <c r="AL80" s="30"/>
      <c r="AM80" s="55">
        <f t="shared" si="16"/>
        <v>0</v>
      </c>
      <c r="AN80" s="55">
        <f t="shared" si="17"/>
        <v>0</v>
      </c>
      <c r="AO80" s="72"/>
      <c r="AP80" s="74" t="str">
        <f t="shared" si="18"/>
        <v/>
      </c>
      <c r="AQ80" s="74" t="str">
        <f t="shared" si="19"/>
        <v/>
      </c>
    </row>
    <row r="81" spans="1:43" ht="13.8" thickBot="1" x14ac:dyDescent="0.3">
      <c r="A81" s="68">
        <v>25</v>
      </c>
      <c r="B81" s="67" t="s">
        <v>217</v>
      </c>
      <c r="C81" s="69" t="s">
        <v>983</v>
      </c>
      <c r="D81" s="66" t="s">
        <v>198</v>
      </c>
      <c r="E81" s="70" t="s">
        <v>13</v>
      </c>
      <c r="F81" s="54"/>
      <c r="G81" s="54"/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/>
      <c r="AK81" s="30"/>
      <c r="AL81" s="30"/>
      <c r="AM81" s="55">
        <f t="shared" si="16"/>
        <v>0</v>
      </c>
      <c r="AN81" s="55">
        <f t="shared" si="17"/>
        <v>0</v>
      </c>
      <c r="AO81" s="72"/>
      <c r="AP81" s="74" t="str">
        <f t="shared" si="18"/>
        <v/>
      </c>
      <c r="AQ81" s="74" t="str">
        <f t="shared" si="19"/>
        <v/>
      </c>
    </row>
    <row r="82" spans="1:43" ht="13.8" thickBot="1" x14ac:dyDescent="0.3">
      <c r="A82" s="68">
        <v>26</v>
      </c>
      <c r="B82" s="67" t="s">
        <v>225</v>
      </c>
      <c r="C82" s="69" t="s">
        <v>983</v>
      </c>
      <c r="D82" s="66" t="s">
        <v>198</v>
      </c>
      <c r="E82" s="70" t="s">
        <v>13</v>
      </c>
      <c r="F82" s="54"/>
      <c r="G82" s="54"/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/>
      <c r="AK82" s="30"/>
      <c r="AL82" s="30"/>
      <c r="AM82" s="55">
        <f t="shared" si="16"/>
        <v>0</v>
      </c>
      <c r="AN82" s="55">
        <f t="shared" si="17"/>
        <v>0</v>
      </c>
      <c r="AO82" s="72"/>
      <c r="AP82" s="74" t="str">
        <f t="shared" si="18"/>
        <v/>
      </c>
      <c r="AQ82" s="74" t="str">
        <f t="shared" si="19"/>
        <v/>
      </c>
    </row>
    <row r="83" spans="1:43" ht="13.8" thickBot="1" x14ac:dyDescent="0.3">
      <c r="A83" s="68">
        <v>27</v>
      </c>
      <c r="B83" s="67" t="s">
        <v>222</v>
      </c>
      <c r="C83" s="69" t="s">
        <v>984</v>
      </c>
      <c r="D83" s="66" t="s">
        <v>976</v>
      </c>
      <c r="E83" s="70" t="s">
        <v>13</v>
      </c>
      <c r="F83" s="54"/>
      <c r="G83" s="54"/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/>
      <c r="AK83" s="30"/>
      <c r="AL83" s="30"/>
      <c r="AM83" s="55">
        <f t="shared" si="16"/>
        <v>0</v>
      </c>
      <c r="AN83" s="55">
        <f t="shared" si="17"/>
        <v>0</v>
      </c>
      <c r="AO83" s="72"/>
      <c r="AP83" s="74" t="str">
        <f t="shared" si="18"/>
        <v/>
      </c>
      <c r="AQ83" s="74" t="str">
        <f t="shared" si="19"/>
        <v/>
      </c>
    </row>
    <row r="84" spans="1:43" ht="13.8" thickBot="1" x14ac:dyDescent="0.3">
      <c r="A84" s="68">
        <v>28</v>
      </c>
      <c r="B84" s="67" t="s">
        <v>202</v>
      </c>
      <c r="C84" s="69" t="s">
        <v>987</v>
      </c>
      <c r="D84" s="66" t="s">
        <v>976</v>
      </c>
      <c r="E84" s="70" t="s">
        <v>13</v>
      </c>
      <c r="F84" s="54"/>
      <c r="G84" s="54"/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/>
      <c r="AK84" s="30"/>
      <c r="AL84" s="30"/>
      <c r="AM84" s="55">
        <f t="shared" si="16"/>
        <v>0</v>
      </c>
      <c r="AN84" s="55">
        <f t="shared" si="17"/>
        <v>0</v>
      </c>
      <c r="AO84" s="72"/>
      <c r="AP84" s="74" t="str">
        <f t="shared" si="18"/>
        <v/>
      </c>
      <c r="AQ84" s="74" t="str">
        <f t="shared" si="19"/>
        <v/>
      </c>
    </row>
    <row r="85" spans="1:43" ht="13.8" thickBot="1" x14ac:dyDescent="0.3">
      <c r="A85" s="68">
        <v>29</v>
      </c>
      <c r="B85" s="67" t="s">
        <v>214</v>
      </c>
      <c r="C85" s="69" t="s">
        <v>987</v>
      </c>
      <c r="D85" s="66" t="s">
        <v>976</v>
      </c>
      <c r="E85" s="70" t="s">
        <v>13</v>
      </c>
      <c r="F85" s="54"/>
      <c r="G85" s="54"/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/>
      <c r="AK85" s="30"/>
      <c r="AL85" s="30"/>
      <c r="AM85" s="55">
        <f t="shared" si="16"/>
        <v>0</v>
      </c>
      <c r="AN85" s="55">
        <f t="shared" si="17"/>
        <v>0</v>
      </c>
      <c r="AO85" s="72"/>
      <c r="AP85" s="74" t="str">
        <f t="shared" si="18"/>
        <v/>
      </c>
      <c r="AQ85" s="74" t="str">
        <f t="shared" si="19"/>
        <v/>
      </c>
    </row>
    <row r="86" spans="1:43" ht="13.8" thickBot="1" x14ac:dyDescent="0.3">
      <c r="A86" s="68">
        <v>30</v>
      </c>
      <c r="B86" s="67" t="s">
        <v>993</v>
      </c>
      <c r="C86" s="69" t="s">
        <v>988</v>
      </c>
      <c r="D86" s="66" t="s">
        <v>219</v>
      </c>
      <c r="E86" s="66" t="s">
        <v>994</v>
      </c>
      <c r="F86" s="54"/>
      <c r="G86" s="54"/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/>
      <c r="AK86" s="30"/>
      <c r="AL86" s="30"/>
      <c r="AM86" s="55">
        <f t="shared" si="16"/>
        <v>0</v>
      </c>
      <c r="AN86" s="55">
        <f t="shared" si="17"/>
        <v>0</v>
      </c>
      <c r="AO86" s="72"/>
      <c r="AP86" s="74" t="str">
        <f t="shared" si="18"/>
        <v/>
      </c>
      <c r="AQ86" s="74" t="str">
        <f t="shared" si="19"/>
        <v/>
      </c>
    </row>
    <row r="87" spans="1:43" ht="13.8" thickBot="1" x14ac:dyDescent="0.3">
      <c r="A87" s="68">
        <v>31</v>
      </c>
      <c r="B87" s="67" t="s">
        <v>990</v>
      </c>
      <c r="C87" s="69" t="s">
        <v>989</v>
      </c>
      <c r="D87" s="66" t="s">
        <v>219</v>
      </c>
      <c r="E87" s="70" t="s">
        <v>13</v>
      </c>
      <c r="F87" s="54"/>
      <c r="G87" s="54"/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/>
      <c r="AK87" s="30"/>
      <c r="AL87" s="30"/>
      <c r="AM87" s="55">
        <f t="shared" si="16"/>
        <v>0</v>
      </c>
      <c r="AN87" s="55">
        <f t="shared" si="17"/>
        <v>0</v>
      </c>
      <c r="AO87" s="72"/>
      <c r="AP87" s="74" t="str">
        <f t="shared" si="18"/>
        <v/>
      </c>
      <c r="AQ87" s="74" t="str">
        <f t="shared" si="19"/>
        <v/>
      </c>
    </row>
    <row r="88" spans="1:43" ht="13.8" thickBot="1" x14ac:dyDescent="0.3">
      <c r="A88" s="68">
        <v>32</v>
      </c>
      <c r="B88" s="67" t="s">
        <v>196</v>
      </c>
      <c r="C88" s="69" t="s">
        <v>991</v>
      </c>
      <c r="D88" s="66" t="s">
        <v>213</v>
      </c>
      <c r="E88" s="66" t="s">
        <v>197</v>
      </c>
      <c r="F88" s="54"/>
      <c r="G88" s="54"/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/>
      <c r="AK88" s="30"/>
      <c r="AL88" s="30"/>
      <c r="AM88" s="55">
        <f t="shared" si="16"/>
        <v>0</v>
      </c>
      <c r="AN88" s="55">
        <f t="shared" si="17"/>
        <v>0</v>
      </c>
      <c r="AO88" s="72"/>
      <c r="AP88" s="74" t="str">
        <f t="shared" si="18"/>
        <v/>
      </c>
      <c r="AQ88" s="74" t="str">
        <f t="shared" si="19"/>
        <v/>
      </c>
    </row>
    <row r="89" spans="1:43" ht="13.8" thickBot="1" x14ac:dyDescent="0.3">
      <c r="A89" s="68">
        <v>33</v>
      </c>
      <c r="B89" s="67" t="s">
        <v>215</v>
      </c>
      <c r="C89" s="69" t="s">
        <v>992</v>
      </c>
      <c r="D89" s="66" t="s">
        <v>198</v>
      </c>
      <c r="E89" s="66" t="s">
        <v>206</v>
      </c>
      <c r="F89" s="54"/>
      <c r="G89" s="54"/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30">
        <v>0</v>
      </c>
      <c r="AI89" s="30">
        <v>0</v>
      </c>
      <c r="AJ89" s="30"/>
      <c r="AK89" s="30"/>
      <c r="AL89" s="30"/>
      <c r="AM89" s="55">
        <f t="shared" si="16"/>
        <v>0</v>
      </c>
      <c r="AN89" s="55">
        <f t="shared" si="17"/>
        <v>0</v>
      </c>
      <c r="AO89" s="72"/>
      <c r="AP89" s="74" t="str">
        <f t="shared" si="18"/>
        <v/>
      </c>
      <c r="AQ89" s="74" t="str">
        <f t="shared" si="19"/>
        <v/>
      </c>
    </row>
    <row r="90" spans="1:43" ht="13.8" thickBot="1" x14ac:dyDescent="0.3">
      <c r="A90" s="68">
        <v>34</v>
      </c>
      <c r="B90" s="67" t="s">
        <v>226</v>
      </c>
      <c r="C90" s="69" t="s">
        <v>992</v>
      </c>
      <c r="D90" s="66" t="s">
        <v>230</v>
      </c>
      <c r="E90" s="66" t="s">
        <v>227</v>
      </c>
      <c r="F90" s="54"/>
      <c r="G90" s="54"/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/>
      <c r="AK90" s="30"/>
      <c r="AL90" s="30"/>
      <c r="AM90" s="55">
        <f t="shared" si="16"/>
        <v>0</v>
      </c>
      <c r="AN90" s="55">
        <f t="shared" si="17"/>
        <v>0</v>
      </c>
      <c r="AO90" s="72"/>
      <c r="AP90" s="74" t="str">
        <f t="shared" si="18"/>
        <v/>
      </c>
      <c r="AQ90" s="74" t="str">
        <f t="shared" si="19"/>
        <v/>
      </c>
    </row>
    <row r="91" spans="1:43" ht="13.8" thickBot="1" x14ac:dyDescent="0.3">
      <c r="A91" s="68">
        <v>35</v>
      </c>
      <c r="B91" s="67"/>
      <c r="C91" s="69"/>
      <c r="D91" s="66"/>
      <c r="E91" s="66"/>
      <c r="F91" s="54"/>
      <c r="G91" s="54"/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/>
      <c r="AK91" s="30"/>
      <c r="AL91" s="30"/>
      <c r="AM91" s="55">
        <f t="shared" si="16"/>
        <v>0</v>
      </c>
      <c r="AN91" s="55">
        <f t="shared" si="17"/>
        <v>0</v>
      </c>
      <c r="AO91" s="72"/>
      <c r="AP91" s="74" t="str">
        <f t="shared" si="18"/>
        <v/>
      </c>
      <c r="AQ91" s="74" t="str">
        <f t="shared" si="19"/>
        <v/>
      </c>
    </row>
    <row r="92" spans="1:43" ht="13.8" thickBot="1" x14ac:dyDescent="0.3">
      <c r="A92" s="68">
        <v>36</v>
      </c>
      <c r="B92" s="67"/>
      <c r="C92" s="69"/>
      <c r="D92" s="66"/>
      <c r="E92" s="66"/>
      <c r="F92" s="54"/>
      <c r="G92" s="54"/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0</v>
      </c>
      <c r="AJ92" s="30"/>
      <c r="AK92" s="30"/>
      <c r="AL92" s="30"/>
      <c r="AM92" s="55">
        <f t="shared" si="16"/>
        <v>0</v>
      </c>
      <c r="AN92" s="55">
        <f t="shared" si="17"/>
        <v>0</v>
      </c>
      <c r="AO92" s="72"/>
      <c r="AP92" s="74" t="str">
        <f t="shared" si="18"/>
        <v/>
      </c>
      <c r="AQ92" s="74" t="str">
        <f t="shared" si="19"/>
        <v/>
      </c>
    </row>
    <row r="93" spans="1:43" ht="13.8" thickBot="1" x14ac:dyDescent="0.3">
      <c r="A93" s="68">
        <v>37</v>
      </c>
      <c r="B93" s="67"/>
      <c r="C93" s="69"/>
      <c r="D93" s="66"/>
      <c r="E93" s="66"/>
      <c r="F93" s="54"/>
      <c r="G93" s="54"/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30">
        <v>0</v>
      </c>
      <c r="AI93" s="30">
        <v>0</v>
      </c>
      <c r="AJ93" s="30"/>
      <c r="AK93" s="30"/>
      <c r="AL93" s="30"/>
      <c r="AM93" s="55">
        <f t="shared" si="16"/>
        <v>0</v>
      </c>
      <c r="AN93" s="55">
        <f t="shared" si="17"/>
        <v>0</v>
      </c>
      <c r="AO93" s="72"/>
      <c r="AP93" s="74" t="str">
        <f t="shared" si="18"/>
        <v/>
      </c>
      <c r="AQ93" s="74" t="str">
        <f t="shared" si="19"/>
        <v/>
      </c>
    </row>
    <row r="94" spans="1:43" ht="13.8" thickBot="1" x14ac:dyDescent="0.3">
      <c r="A94" s="68">
        <v>38</v>
      </c>
      <c r="B94" s="67"/>
      <c r="C94" s="69"/>
      <c r="D94" s="66"/>
      <c r="E94" s="66"/>
      <c r="F94" s="54"/>
      <c r="G94" s="54"/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/>
      <c r="AK94" s="30"/>
      <c r="AL94" s="30"/>
      <c r="AM94" s="55">
        <f t="shared" si="16"/>
        <v>0</v>
      </c>
      <c r="AN94" s="55">
        <f t="shared" si="17"/>
        <v>0</v>
      </c>
      <c r="AO94" s="72"/>
      <c r="AP94" s="74" t="str">
        <f t="shared" si="18"/>
        <v/>
      </c>
      <c r="AQ94" s="74" t="str">
        <f t="shared" si="19"/>
        <v/>
      </c>
    </row>
    <row r="95" spans="1:43" ht="13.8" thickBot="1" x14ac:dyDescent="0.3">
      <c r="A95" s="68">
        <v>39</v>
      </c>
      <c r="B95" s="54"/>
      <c r="C95" s="54"/>
      <c r="D95" s="66"/>
      <c r="E95" s="66"/>
      <c r="F95" s="54"/>
      <c r="G95" s="54"/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/>
      <c r="AK95" s="30"/>
      <c r="AL95" s="30"/>
      <c r="AM95" s="55">
        <f t="shared" si="16"/>
        <v>0</v>
      </c>
      <c r="AN95" s="55">
        <f t="shared" si="17"/>
        <v>0</v>
      </c>
      <c r="AO95" s="72"/>
      <c r="AP95" s="74" t="str">
        <f t="shared" si="18"/>
        <v/>
      </c>
      <c r="AQ95" s="74" t="str">
        <f t="shared" si="19"/>
        <v/>
      </c>
    </row>
    <row r="96" spans="1:43" ht="18.600000000000001" customHeight="1" thickBot="1" x14ac:dyDescent="0.3">
      <c r="A96" s="92"/>
      <c r="B96" s="93"/>
      <c r="C96" s="42"/>
      <c r="D96" s="42"/>
      <c r="E96" s="42"/>
      <c r="F96" s="42"/>
      <c r="G96" s="42"/>
      <c r="H96" s="55">
        <f t="shared" ref="H96:AN96" si="20">SUM(H56:H95)</f>
        <v>0</v>
      </c>
      <c r="I96" s="55">
        <f t="shared" si="20"/>
        <v>0</v>
      </c>
      <c r="J96" s="55">
        <f t="shared" si="20"/>
        <v>0</v>
      </c>
      <c r="K96" s="55">
        <f t="shared" si="20"/>
        <v>0</v>
      </c>
      <c r="L96" s="55">
        <f t="shared" si="20"/>
        <v>0</v>
      </c>
      <c r="M96" s="55">
        <f t="shared" si="20"/>
        <v>0</v>
      </c>
      <c r="N96" s="55">
        <f t="shared" si="20"/>
        <v>0</v>
      </c>
      <c r="O96" s="55">
        <f t="shared" si="20"/>
        <v>0</v>
      </c>
      <c r="P96" s="55">
        <f t="shared" si="20"/>
        <v>0</v>
      </c>
      <c r="Q96" s="55">
        <f t="shared" si="20"/>
        <v>0</v>
      </c>
      <c r="R96" s="55">
        <f t="shared" si="20"/>
        <v>0</v>
      </c>
      <c r="S96" s="55">
        <f t="shared" si="20"/>
        <v>0</v>
      </c>
      <c r="T96" s="55">
        <f t="shared" si="20"/>
        <v>0</v>
      </c>
      <c r="U96" s="55">
        <f t="shared" si="20"/>
        <v>0</v>
      </c>
      <c r="V96" s="55">
        <f t="shared" si="20"/>
        <v>0</v>
      </c>
      <c r="W96" s="55">
        <f t="shared" si="20"/>
        <v>0</v>
      </c>
      <c r="X96" s="55">
        <f t="shared" si="20"/>
        <v>0</v>
      </c>
      <c r="Y96" s="55">
        <f t="shared" si="20"/>
        <v>0</v>
      </c>
      <c r="Z96" s="55">
        <f t="shared" si="20"/>
        <v>0</v>
      </c>
      <c r="AA96" s="55">
        <f t="shared" si="20"/>
        <v>0</v>
      </c>
      <c r="AB96" s="55">
        <f t="shared" si="20"/>
        <v>0</v>
      </c>
      <c r="AC96" s="55">
        <f t="shared" si="20"/>
        <v>0</v>
      </c>
      <c r="AD96" s="55">
        <f t="shared" si="20"/>
        <v>0</v>
      </c>
      <c r="AE96" s="55">
        <f t="shared" si="20"/>
        <v>0</v>
      </c>
      <c r="AF96" s="55">
        <f t="shared" si="20"/>
        <v>0</v>
      </c>
      <c r="AG96" s="55">
        <f t="shared" si="20"/>
        <v>0</v>
      </c>
      <c r="AH96" s="55">
        <f t="shared" si="20"/>
        <v>0</v>
      </c>
      <c r="AI96" s="55">
        <f t="shared" si="20"/>
        <v>0</v>
      </c>
      <c r="AJ96" s="55">
        <f t="shared" si="20"/>
        <v>0</v>
      </c>
      <c r="AK96" s="55">
        <f t="shared" si="20"/>
        <v>0</v>
      </c>
      <c r="AL96" s="55">
        <f t="shared" si="20"/>
        <v>0</v>
      </c>
      <c r="AM96" s="30">
        <f t="shared" si="20"/>
        <v>0</v>
      </c>
      <c r="AN96" s="30">
        <f t="shared" si="20"/>
        <v>0</v>
      </c>
    </row>
    <row r="98" spans="1:43" ht="21" customHeight="1" x14ac:dyDescent="0.25">
      <c r="A98" s="92" t="s">
        <v>174</v>
      </c>
      <c r="B98" s="93"/>
      <c r="C98" s="42"/>
      <c r="D98" s="42"/>
      <c r="E98" s="42"/>
      <c r="F98" s="42"/>
      <c r="G98" s="42"/>
      <c r="H98" s="111">
        <v>45717</v>
      </c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40" t="s">
        <v>954</v>
      </c>
      <c r="AN98" s="146" t="s">
        <v>953</v>
      </c>
      <c r="AO98" s="148" t="s">
        <v>955</v>
      </c>
      <c r="AP98" s="144" t="s">
        <v>958</v>
      </c>
      <c r="AQ98" s="144"/>
    </row>
    <row r="99" spans="1:43" ht="34.799999999999997" customHeight="1" thickBot="1" x14ac:dyDescent="0.3">
      <c r="A99" s="138" t="s">
        <v>948</v>
      </c>
      <c r="B99" s="138" t="s">
        <v>947</v>
      </c>
      <c r="C99" s="138" t="s">
        <v>959</v>
      </c>
      <c r="D99" s="138" t="s">
        <v>949</v>
      </c>
      <c r="E99" s="138"/>
      <c r="F99" s="154" t="s">
        <v>192</v>
      </c>
      <c r="G99" s="142" t="s">
        <v>193</v>
      </c>
      <c r="H99" s="45">
        <v>1</v>
      </c>
      <c r="I99" s="45">
        <v>2</v>
      </c>
      <c r="J99" s="45">
        <v>3</v>
      </c>
      <c r="K99" s="45">
        <v>4</v>
      </c>
      <c r="L99" s="45">
        <v>5</v>
      </c>
      <c r="M99" s="45">
        <v>6</v>
      </c>
      <c r="N99" s="45">
        <v>7</v>
      </c>
      <c r="O99" s="45">
        <v>8</v>
      </c>
      <c r="P99" s="45">
        <v>9</v>
      </c>
      <c r="Q99" s="45">
        <v>10</v>
      </c>
      <c r="R99" s="45">
        <v>11</v>
      </c>
      <c r="S99" s="45">
        <v>12</v>
      </c>
      <c r="T99" s="45">
        <v>13</v>
      </c>
      <c r="U99" s="45">
        <v>14</v>
      </c>
      <c r="V99" s="45">
        <v>15</v>
      </c>
      <c r="W99" s="45">
        <v>16</v>
      </c>
      <c r="X99" s="45">
        <v>17</v>
      </c>
      <c r="Y99" s="45">
        <v>18</v>
      </c>
      <c r="Z99" s="45">
        <v>19</v>
      </c>
      <c r="AA99" s="45">
        <v>20</v>
      </c>
      <c r="AB99" s="45">
        <v>21</v>
      </c>
      <c r="AC99" s="45">
        <v>22</v>
      </c>
      <c r="AD99" s="45">
        <v>23</v>
      </c>
      <c r="AE99" s="45">
        <v>24</v>
      </c>
      <c r="AF99" s="45">
        <v>25</v>
      </c>
      <c r="AG99" s="45">
        <v>26</v>
      </c>
      <c r="AH99" s="45">
        <v>27</v>
      </c>
      <c r="AI99" s="45">
        <v>28</v>
      </c>
      <c r="AJ99" s="45">
        <v>29</v>
      </c>
      <c r="AK99" s="45">
        <v>30</v>
      </c>
      <c r="AL99" s="45" t="s">
        <v>177</v>
      </c>
      <c r="AM99" s="140"/>
      <c r="AN99" s="146"/>
      <c r="AO99" s="148"/>
      <c r="AP99" s="150" t="s">
        <v>956</v>
      </c>
      <c r="AQ99" s="152" t="s">
        <v>957</v>
      </c>
    </row>
    <row r="100" spans="1:43" ht="13.8" thickBot="1" x14ac:dyDescent="0.3">
      <c r="A100" s="139"/>
      <c r="B100" s="139"/>
      <c r="C100" s="145"/>
      <c r="D100" s="64" t="s">
        <v>950</v>
      </c>
      <c r="E100" s="64" t="s">
        <v>951</v>
      </c>
      <c r="F100" s="155"/>
      <c r="G100" s="143"/>
      <c r="H100" s="28" t="s">
        <v>182</v>
      </c>
      <c r="I100" s="28" t="s">
        <v>183</v>
      </c>
      <c r="J100" s="28" t="s">
        <v>179</v>
      </c>
      <c r="K100" s="28" t="s">
        <v>24</v>
      </c>
      <c r="L100" s="28" t="s">
        <v>24</v>
      </c>
      <c r="M100" s="28" t="s">
        <v>180</v>
      </c>
      <c r="N100" s="28" t="s">
        <v>181</v>
      </c>
      <c r="O100" s="28" t="s">
        <v>182</v>
      </c>
      <c r="P100" s="28" t="s">
        <v>183</v>
      </c>
      <c r="Q100" s="28" t="s">
        <v>179</v>
      </c>
      <c r="R100" s="28" t="s">
        <v>24</v>
      </c>
      <c r="S100" s="28" t="s">
        <v>24</v>
      </c>
      <c r="T100" s="28" t="s">
        <v>180</v>
      </c>
      <c r="U100" s="28" t="s">
        <v>181</v>
      </c>
      <c r="V100" s="28" t="s">
        <v>182</v>
      </c>
      <c r="W100" s="28" t="s">
        <v>183</v>
      </c>
      <c r="X100" s="28" t="s">
        <v>179</v>
      </c>
      <c r="Y100" s="28" t="s">
        <v>24</v>
      </c>
      <c r="Z100" s="28" t="s">
        <v>24</v>
      </c>
      <c r="AA100" s="28" t="s">
        <v>180</v>
      </c>
      <c r="AB100" s="28" t="s">
        <v>181</v>
      </c>
      <c r="AC100" s="28" t="s">
        <v>182</v>
      </c>
      <c r="AD100" s="28" t="s">
        <v>183</v>
      </c>
      <c r="AE100" s="28" t="s">
        <v>179</v>
      </c>
      <c r="AF100" s="28" t="s">
        <v>24</v>
      </c>
      <c r="AG100" s="28" t="s">
        <v>24</v>
      </c>
      <c r="AH100" s="28" t="s">
        <v>180</v>
      </c>
      <c r="AI100" s="28" t="s">
        <v>181</v>
      </c>
      <c r="AJ100" s="28" t="s">
        <v>182</v>
      </c>
      <c r="AK100" s="28" t="s">
        <v>183</v>
      </c>
      <c r="AL100" s="28" t="s">
        <v>179</v>
      </c>
      <c r="AM100" s="141"/>
      <c r="AN100" s="147"/>
      <c r="AO100" s="149"/>
      <c r="AP100" s="151"/>
      <c r="AQ100" s="153"/>
    </row>
    <row r="101" spans="1:43" ht="13.8" thickBot="1" x14ac:dyDescent="0.3">
      <c r="A101" s="68">
        <v>1</v>
      </c>
      <c r="B101" s="67" t="s">
        <v>965</v>
      </c>
      <c r="C101" s="66" t="s">
        <v>960</v>
      </c>
      <c r="D101" s="66" t="s">
        <v>213</v>
      </c>
      <c r="E101" s="69" t="s">
        <v>197</v>
      </c>
      <c r="F101" s="54"/>
      <c r="G101" s="54"/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55">
        <f>SUM(H101:AL101)</f>
        <v>0</v>
      </c>
      <c r="AN101" s="55">
        <f>F101+G101-AM101</f>
        <v>0</v>
      </c>
      <c r="AO101" s="72"/>
      <c r="AP101" s="74" t="str">
        <f>IF(AO101="","",IF($A$2&lt;=AO101,IF((AO101-$A$2)&lt;=90,"ALERTA","A TIEMPO"),"CADUCADO"))</f>
        <v/>
      </c>
      <c r="AQ101" s="74" t="str">
        <f>IF(AO101="","",AO101-$A$2)</f>
        <v/>
      </c>
    </row>
    <row r="102" spans="1:43" ht="13.8" thickBot="1" x14ac:dyDescent="0.3">
      <c r="A102" s="68">
        <v>2</v>
      </c>
      <c r="B102" s="67" t="s">
        <v>965</v>
      </c>
      <c r="C102" s="66" t="s">
        <v>960</v>
      </c>
      <c r="D102" s="66" t="s">
        <v>224</v>
      </c>
      <c r="E102" s="71">
        <v>0.01</v>
      </c>
      <c r="F102" s="54"/>
      <c r="G102" s="54"/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0">
        <v>0</v>
      </c>
      <c r="W102" s="30">
        <v>0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30">
        <v>0</v>
      </c>
      <c r="AD102" s="30">
        <v>0</v>
      </c>
      <c r="AE102" s="30">
        <v>0</v>
      </c>
      <c r="AF102" s="30">
        <v>0</v>
      </c>
      <c r="AG102" s="30">
        <v>0</v>
      </c>
      <c r="AH102" s="30">
        <v>0</v>
      </c>
      <c r="AI102" s="30">
        <v>0</v>
      </c>
      <c r="AJ102" s="30">
        <v>0</v>
      </c>
      <c r="AK102" s="30">
        <v>0</v>
      </c>
      <c r="AL102" s="30">
        <v>0</v>
      </c>
      <c r="AM102" s="55">
        <f t="shared" ref="AM102:AM140" si="21">SUM(H102:AL102)</f>
        <v>0</v>
      </c>
      <c r="AN102" s="55">
        <f t="shared" ref="AN102:AN140" si="22">F102+G102-AM102</f>
        <v>0</v>
      </c>
      <c r="AO102" s="72"/>
      <c r="AP102" s="74" t="str">
        <f t="shared" ref="AP102:AP140" si="23">IF(AO102="","",IF($A$2&lt;=AO102,IF((AO102-$A$2)&lt;=90,"ALERTA","A TIEMPO"),"CADUCADO"))</f>
        <v/>
      </c>
      <c r="AQ102" s="74" t="str">
        <f t="shared" ref="AQ102:AQ140" si="24">IF(AO102="","",AO102-$A$2)</f>
        <v/>
      </c>
    </row>
    <row r="103" spans="1:43" ht="13.8" thickBot="1" x14ac:dyDescent="0.3">
      <c r="A103" s="68">
        <v>3</v>
      </c>
      <c r="B103" s="67" t="s">
        <v>211</v>
      </c>
      <c r="C103" s="66" t="s">
        <v>960</v>
      </c>
      <c r="D103" s="66" t="s">
        <v>198</v>
      </c>
      <c r="E103" s="69" t="s">
        <v>964</v>
      </c>
      <c r="F103" s="54"/>
      <c r="G103" s="54"/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v>0</v>
      </c>
      <c r="AE103" s="30">
        <v>0</v>
      </c>
      <c r="AF103" s="30">
        <v>0</v>
      </c>
      <c r="AG103" s="30">
        <v>0</v>
      </c>
      <c r="AH103" s="30">
        <v>0</v>
      </c>
      <c r="AI103" s="30">
        <v>0</v>
      </c>
      <c r="AJ103" s="30">
        <v>0</v>
      </c>
      <c r="AK103" s="30">
        <v>0</v>
      </c>
      <c r="AL103" s="30">
        <v>0</v>
      </c>
      <c r="AM103" s="55">
        <f t="shared" si="21"/>
        <v>0</v>
      </c>
      <c r="AN103" s="55">
        <f t="shared" si="22"/>
        <v>0</v>
      </c>
      <c r="AO103" s="72"/>
      <c r="AP103" s="74" t="str">
        <f t="shared" si="23"/>
        <v/>
      </c>
      <c r="AQ103" s="74" t="str">
        <f t="shared" si="24"/>
        <v/>
      </c>
    </row>
    <row r="104" spans="1:43" ht="13.8" thickBot="1" x14ac:dyDescent="0.3">
      <c r="A104" s="68">
        <v>4</v>
      </c>
      <c r="B104" s="67" t="s">
        <v>985</v>
      </c>
      <c r="C104" s="66" t="s">
        <v>960</v>
      </c>
      <c r="D104" s="66" t="s">
        <v>198</v>
      </c>
      <c r="E104" s="70" t="s">
        <v>986</v>
      </c>
      <c r="F104" s="54"/>
      <c r="G104" s="54"/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M104" s="55">
        <f t="shared" si="21"/>
        <v>0</v>
      </c>
      <c r="AN104" s="55">
        <f t="shared" si="22"/>
        <v>0</v>
      </c>
      <c r="AO104" s="72"/>
      <c r="AP104" s="74" t="str">
        <f t="shared" si="23"/>
        <v/>
      </c>
      <c r="AQ104" s="74" t="str">
        <f t="shared" si="24"/>
        <v/>
      </c>
    </row>
    <row r="105" spans="1:43" ht="13.8" thickBot="1" x14ac:dyDescent="0.3">
      <c r="A105" s="68">
        <v>4</v>
      </c>
      <c r="B105" s="67" t="s">
        <v>963</v>
      </c>
      <c r="C105" s="66" t="s">
        <v>960</v>
      </c>
      <c r="D105" s="66" t="s">
        <v>213</v>
      </c>
      <c r="E105" s="70" t="s">
        <v>13</v>
      </c>
      <c r="F105" s="54"/>
      <c r="G105" s="54"/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M105" s="55">
        <f t="shared" si="21"/>
        <v>0</v>
      </c>
      <c r="AN105" s="55">
        <f t="shared" si="22"/>
        <v>0</v>
      </c>
      <c r="AO105" s="72"/>
      <c r="AP105" s="74" t="str">
        <f t="shared" si="23"/>
        <v/>
      </c>
      <c r="AQ105" s="74" t="str">
        <f t="shared" si="24"/>
        <v/>
      </c>
    </row>
    <row r="106" spans="1:43" ht="13.8" thickBot="1" x14ac:dyDescent="0.3">
      <c r="A106" s="68">
        <v>5</v>
      </c>
      <c r="B106" s="67" t="s">
        <v>228</v>
      </c>
      <c r="C106" s="66" t="s">
        <v>960</v>
      </c>
      <c r="D106" s="66" t="s">
        <v>213</v>
      </c>
      <c r="E106" s="69" t="s">
        <v>229</v>
      </c>
      <c r="F106" s="54"/>
      <c r="G106" s="54"/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0</v>
      </c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M106" s="55">
        <f t="shared" si="21"/>
        <v>0</v>
      </c>
      <c r="AN106" s="55">
        <f t="shared" si="22"/>
        <v>0</v>
      </c>
      <c r="AO106" s="72"/>
      <c r="AP106" s="74" t="str">
        <f t="shared" si="23"/>
        <v/>
      </c>
      <c r="AQ106" s="74" t="str">
        <f t="shared" si="24"/>
        <v/>
      </c>
    </row>
    <row r="107" spans="1:43" ht="13.8" thickBot="1" x14ac:dyDescent="0.3">
      <c r="A107" s="68">
        <v>6</v>
      </c>
      <c r="B107" s="67" t="s">
        <v>968</v>
      </c>
      <c r="C107" s="66" t="s">
        <v>960</v>
      </c>
      <c r="D107" s="66" t="s">
        <v>198</v>
      </c>
      <c r="E107" s="69" t="s">
        <v>199</v>
      </c>
      <c r="F107" s="54"/>
      <c r="G107" s="54"/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0">
        <v>0</v>
      </c>
      <c r="W107" s="30">
        <v>0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30">
        <v>0</v>
      </c>
      <c r="AD107" s="30">
        <v>0</v>
      </c>
      <c r="AE107" s="30">
        <v>0</v>
      </c>
      <c r="AF107" s="30">
        <v>0</v>
      </c>
      <c r="AG107" s="30">
        <v>0</v>
      </c>
      <c r="AH107" s="30">
        <v>0</v>
      </c>
      <c r="AI107" s="30">
        <v>0</v>
      </c>
      <c r="AJ107" s="30">
        <v>0</v>
      </c>
      <c r="AK107" s="30">
        <v>0</v>
      </c>
      <c r="AL107" s="30">
        <v>0</v>
      </c>
      <c r="AM107" s="55">
        <f t="shared" si="21"/>
        <v>0</v>
      </c>
      <c r="AN107" s="55">
        <f t="shared" si="22"/>
        <v>0</v>
      </c>
      <c r="AO107" s="72"/>
      <c r="AP107" s="74" t="str">
        <f t="shared" si="23"/>
        <v/>
      </c>
      <c r="AQ107" s="74" t="str">
        <f t="shared" si="24"/>
        <v/>
      </c>
    </row>
    <row r="108" spans="1:43" ht="13.8" thickBot="1" x14ac:dyDescent="0.3">
      <c r="A108" s="68">
        <v>7</v>
      </c>
      <c r="B108" s="67" t="s">
        <v>220</v>
      </c>
      <c r="C108" s="66" t="s">
        <v>960</v>
      </c>
      <c r="D108" s="66" t="s">
        <v>198</v>
      </c>
      <c r="E108" s="69" t="s">
        <v>195</v>
      </c>
      <c r="F108" s="54"/>
      <c r="G108" s="54"/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0">
        <v>0</v>
      </c>
      <c r="U108" s="30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30">
        <v>0</v>
      </c>
      <c r="AB108" s="30">
        <v>0</v>
      </c>
      <c r="AC108" s="30">
        <v>0</v>
      </c>
      <c r="AD108" s="30">
        <v>0</v>
      </c>
      <c r="AE108" s="30">
        <v>0</v>
      </c>
      <c r="AF108" s="30">
        <v>0</v>
      </c>
      <c r="AG108" s="30">
        <v>0</v>
      </c>
      <c r="AH108" s="30">
        <v>0</v>
      </c>
      <c r="AI108" s="30">
        <v>0</v>
      </c>
      <c r="AJ108" s="30">
        <v>0</v>
      </c>
      <c r="AK108" s="30">
        <v>0</v>
      </c>
      <c r="AL108" s="30">
        <v>0</v>
      </c>
      <c r="AM108" s="55">
        <f t="shared" si="21"/>
        <v>0</v>
      </c>
      <c r="AN108" s="55">
        <f t="shared" si="22"/>
        <v>0</v>
      </c>
      <c r="AO108" s="72"/>
      <c r="AP108" s="74" t="str">
        <f t="shared" si="23"/>
        <v/>
      </c>
      <c r="AQ108" s="74" t="str">
        <f t="shared" si="24"/>
        <v/>
      </c>
    </row>
    <row r="109" spans="1:43" ht="13.8" thickBot="1" x14ac:dyDescent="0.3">
      <c r="A109" s="68">
        <v>8</v>
      </c>
      <c r="B109" s="67" t="s">
        <v>962</v>
      </c>
      <c r="C109" s="66" t="s">
        <v>960</v>
      </c>
      <c r="D109" s="66" t="s">
        <v>198</v>
      </c>
      <c r="E109" s="69" t="s">
        <v>961</v>
      </c>
      <c r="F109" s="54"/>
      <c r="G109" s="54"/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55">
        <f t="shared" si="21"/>
        <v>0</v>
      </c>
      <c r="AN109" s="55">
        <f t="shared" si="22"/>
        <v>0</v>
      </c>
      <c r="AO109" s="72"/>
      <c r="AP109" s="74" t="str">
        <f t="shared" si="23"/>
        <v/>
      </c>
      <c r="AQ109" s="74" t="str">
        <f t="shared" si="24"/>
        <v/>
      </c>
    </row>
    <row r="110" spans="1:43" ht="13.8" thickBot="1" x14ac:dyDescent="0.3">
      <c r="A110" s="68">
        <v>9</v>
      </c>
      <c r="B110" s="67" t="s">
        <v>966</v>
      </c>
      <c r="C110" s="66" t="s">
        <v>960</v>
      </c>
      <c r="D110" s="66" t="s">
        <v>201</v>
      </c>
      <c r="E110" s="69" t="s">
        <v>967</v>
      </c>
      <c r="F110" s="54"/>
      <c r="G110" s="54"/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30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30">
        <v>0</v>
      </c>
      <c r="AA110" s="30">
        <v>0</v>
      </c>
      <c r="AB110" s="30">
        <v>0</v>
      </c>
      <c r="AC110" s="30">
        <v>0</v>
      </c>
      <c r="AD110" s="30">
        <v>0</v>
      </c>
      <c r="AE110" s="30">
        <v>0</v>
      </c>
      <c r="AF110" s="30">
        <v>0</v>
      </c>
      <c r="AG110" s="30">
        <v>0</v>
      </c>
      <c r="AH110" s="30">
        <v>0</v>
      </c>
      <c r="AI110" s="30">
        <v>0</v>
      </c>
      <c r="AJ110" s="30">
        <v>0</v>
      </c>
      <c r="AK110" s="30">
        <v>0</v>
      </c>
      <c r="AL110" s="30">
        <v>0</v>
      </c>
      <c r="AM110" s="55">
        <f t="shared" si="21"/>
        <v>0</v>
      </c>
      <c r="AN110" s="55">
        <f t="shared" si="22"/>
        <v>0</v>
      </c>
      <c r="AO110" s="72"/>
      <c r="AP110" s="74" t="str">
        <f t="shared" si="23"/>
        <v/>
      </c>
      <c r="AQ110" s="74" t="str">
        <f t="shared" si="24"/>
        <v/>
      </c>
    </row>
    <row r="111" spans="1:43" ht="13.8" thickBot="1" x14ac:dyDescent="0.3">
      <c r="A111" s="68">
        <v>10</v>
      </c>
      <c r="B111" s="67" t="s">
        <v>194</v>
      </c>
      <c r="C111" s="66" t="s">
        <v>969</v>
      </c>
      <c r="D111" s="66" t="s">
        <v>198</v>
      </c>
      <c r="E111" s="69" t="s">
        <v>195</v>
      </c>
      <c r="F111" s="54"/>
      <c r="G111" s="54"/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30">
        <v>0</v>
      </c>
      <c r="AD111" s="30">
        <v>0</v>
      </c>
      <c r="AE111" s="30">
        <v>0</v>
      </c>
      <c r="AF111" s="30">
        <v>0</v>
      </c>
      <c r="AG111" s="30">
        <v>0</v>
      </c>
      <c r="AH111" s="30">
        <v>0</v>
      </c>
      <c r="AI111" s="30">
        <v>0</v>
      </c>
      <c r="AJ111" s="30">
        <v>0</v>
      </c>
      <c r="AK111" s="30">
        <v>0</v>
      </c>
      <c r="AL111" s="30">
        <v>0</v>
      </c>
      <c r="AM111" s="55">
        <f t="shared" si="21"/>
        <v>0</v>
      </c>
      <c r="AN111" s="55">
        <f t="shared" si="22"/>
        <v>0</v>
      </c>
      <c r="AO111" s="72"/>
      <c r="AP111" s="74" t="str">
        <f t="shared" si="23"/>
        <v/>
      </c>
      <c r="AQ111" s="74" t="str">
        <f t="shared" si="24"/>
        <v/>
      </c>
    </row>
    <row r="112" spans="1:43" ht="13.8" thickBot="1" x14ac:dyDescent="0.3">
      <c r="A112" s="68">
        <v>11</v>
      </c>
      <c r="B112" s="67" t="s">
        <v>200</v>
      </c>
      <c r="C112" s="66" t="s">
        <v>969</v>
      </c>
      <c r="D112" s="66" t="s">
        <v>198</v>
      </c>
      <c r="E112" s="69" t="s">
        <v>970</v>
      </c>
      <c r="F112" s="54"/>
      <c r="G112" s="54"/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30">
        <v>0</v>
      </c>
      <c r="AM112" s="55">
        <f t="shared" si="21"/>
        <v>0</v>
      </c>
      <c r="AN112" s="55">
        <f t="shared" si="22"/>
        <v>0</v>
      </c>
      <c r="AO112" s="72"/>
      <c r="AP112" s="74" t="str">
        <f t="shared" si="23"/>
        <v/>
      </c>
      <c r="AQ112" s="74" t="str">
        <f t="shared" si="24"/>
        <v/>
      </c>
    </row>
    <row r="113" spans="1:43" ht="13.8" thickBot="1" x14ac:dyDescent="0.3">
      <c r="A113" s="68">
        <v>12</v>
      </c>
      <c r="B113" s="67" t="s">
        <v>972</v>
      </c>
      <c r="C113" s="69" t="s">
        <v>971</v>
      </c>
      <c r="D113" s="66" t="s">
        <v>213</v>
      </c>
      <c r="E113" s="69" t="s">
        <v>203</v>
      </c>
      <c r="F113" s="54"/>
      <c r="G113" s="54"/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  <c r="AG113" s="30">
        <v>0</v>
      </c>
      <c r="AH113" s="30">
        <v>0</v>
      </c>
      <c r="AI113" s="30">
        <v>0</v>
      </c>
      <c r="AJ113" s="30">
        <v>0</v>
      </c>
      <c r="AK113" s="30">
        <v>0</v>
      </c>
      <c r="AL113" s="30">
        <v>0</v>
      </c>
      <c r="AM113" s="55">
        <f t="shared" si="21"/>
        <v>0</v>
      </c>
      <c r="AN113" s="55">
        <f t="shared" si="22"/>
        <v>0</v>
      </c>
      <c r="AO113" s="72"/>
      <c r="AP113" s="74" t="str">
        <f t="shared" si="23"/>
        <v/>
      </c>
      <c r="AQ113" s="74" t="str">
        <f t="shared" si="24"/>
        <v/>
      </c>
    </row>
    <row r="114" spans="1:43" ht="13.8" thickBot="1" x14ac:dyDescent="0.3">
      <c r="A114" s="68">
        <v>13</v>
      </c>
      <c r="B114" s="67" t="s">
        <v>212</v>
      </c>
      <c r="C114" s="69" t="s">
        <v>971</v>
      </c>
      <c r="D114" s="66" t="s">
        <v>213</v>
      </c>
      <c r="E114" s="69" t="s">
        <v>203</v>
      </c>
      <c r="F114" s="54"/>
      <c r="G114" s="54"/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30">
        <v>0</v>
      </c>
      <c r="U114" s="30">
        <v>0</v>
      </c>
      <c r="V114" s="30">
        <v>0</v>
      </c>
      <c r="W114" s="30">
        <v>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v>0</v>
      </c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30">
        <v>0</v>
      </c>
      <c r="AJ114" s="30">
        <v>0</v>
      </c>
      <c r="AK114" s="30">
        <v>0</v>
      </c>
      <c r="AL114" s="30">
        <v>0</v>
      </c>
      <c r="AM114" s="55">
        <f t="shared" si="21"/>
        <v>0</v>
      </c>
      <c r="AN114" s="55">
        <f t="shared" si="22"/>
        <v>0</v>
      </c>
      <c r="AO114" s="72"/>
      <c r="AP114" s="74" t="str">
        <f t="shared" si="23"/>
        <v/>
      </c>
      <c r="AQ114" s="74" t="str">
        <f t="shared" si="24"/>
        <v/>
      </c>
    </row>
    <row r="115" spans="1:43" ht="13.8" thickBot="1" x14ac:dyDescent="0.3">
      <c r="A115" s="68">
        <v>14</v>
      </c>
      <c r="B115" s="67" t="s">
        <v>204</v>
      </c>
      <c r="C115" s="69" t="s">
        <v>46</v>
      </c>
      <c r="D115" s="66" t="s">
        <v>198</v>
      </c>
      <c r="E115" s="70" t="s">
        <v>13</v>
      </c>
      <c r="F115" s="54"/>
      <c r="G115" s="54"/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M115" s="55">
        <f t="shared" si="21"/>
        <v>0</v>
      </c>
      <c r="AN115" s="55">
        <f t="shared" si="22"/>
        <v>0</v>
      </c>
      <c r="AO115" s="72"/>
      <c r="AP115" s="74" t="str">
        <f t="shared" si="23"/>
        <v/>
      </c>
      <c r="AQ115" s="74" t="str">
        <f t="shared" si="24"/>
        <v/>
      </c>
    </row>
    <row r="116" spans="1:43" ht="13.8" thickBot="1" x14ac:dyDescent="0.3">
      <c r="A116" s="68">
        <v>15</v>
      </c>
      <c r="B116" s="67" t="s">
        <v>973</v>
      </c>
      <c r="C116" s="69" t="s">
        <v>46</v>
      </c>
      <c r="D116" s="66" t="s">
        <v>201</v>
      </c>
      <c r="E116" s="69" t="s">
        <v>203</v>
      </c>
      <c r="F116" s="54"/>
      <c r="G116" s="54"/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M116" s="55">
        <f t="shared" si="21"/>
        <v>0</v>
      </c>
      <c r="AN116" s="55">
        <f t="shared" si="22"/>
        <v>0</v>
      </c>
      <c r="AO116" s="72"/>
      <c r="AP116" s="74" t="str">
        <f t="shared" si="23"/>
        <v/>
      </c>
      <c r="AQ116" s="74" t="str">
        <f t="shared" si="24"/>
        <v/>
      </c>
    </row>
    <row r="117" spans="1:43" ht="13.8" thickBot="1" x14ac:dyDescent="0.3">
      <c r="A117" s="68">
        <v>16</v>
      </c>
      <c r="B117" s="67" t="s">
        <v>218</v>
      </c>
      <c r="C117" s="69" t="s">
        <v>46</v>
      </c>
      <c r="D117" s="66" t="s">
        <v>198</v>
      </c>
      <c r="E117" s="69" t="s">
        <v>975</v>
      </c>
      <c r="F117" s="54"/>
      <c r="G117" s="54"/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30">
        <v>0</v>
      </c>
      <c r="AD117" s="30">
        <v>0</v>
      </c>
      <c r="AE117" s="30">
        <v>0</v>
      </c>
      <c r="AF117" s="30">
        <v>0</v>
      </c>
      <c r="AG117" s="30">
        <v>0</v>
      </c>
      <c r="AH117" s="30">
        <v>0</v>
      </c>
      <c r="AI117" s="30">
        <v>0</v>
      </c>
      <c r="AJ117" s="30">
        <v>0</v>
      </c>
      <c r="AK117" s="30">
        <v>0</v>
      </c>
      <c r="AL117" s="30">
        <v>0</v>
      </c>
      <c r="AM117" s="55">
        <f t="shared" si="21"/>
        <v>0</v>
      </c>
      <c r="AN117" s="55">
        <f t="shared" si="22"/>
        <v>0</v>
      </c>
      <c r="AO117" s="72"/>
      <c r="AP117" s="74" t="str">
        <f t="shared" si="23"/>
        <v/>
      </c>
      <c r="AQ117" s="74" t="str">
        <f t="shared" si="24"/>
        <v/>
      </c>
    </row>
    <row r="118" spans="1:43" ht="13.8" thickBot="1" x14ac:dyDescent="0.3">
      <c r="A118" s="68">
        <v>17</v>
      </c>
      <c r="B118" s="67" t="s">
        <v>974</v>
      </c>
      <c r="C118" s="69" t="s">
        <v>46</v>
      </c>
      <c r="D118" s="66" t="s">
        <v>210</v>
      </c>
      <c r="E118" s="70" t="s">
        <v>13</v>
      </c>
      <c r="F118" s="54"/>
      <c r="G118" s="54"/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0">
        <v>0</v>
      </c>
      <c r="AC118" s="30">
        <v>0</v>
      </c>
      <c r="AD118" s="30">
        <v>0</v>
      </c>
      <c r="AE118" s="30">
        <v>0</v>
      </c>
      <c r="AF118" s="30">
        <v>0</v>
      </c>
      <c r="AG118" s="30">
        <v>0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M118" s="55">
        <f t="shared" si="21"/>
        <v>0</v>
      </c>
      <c r="AN118" s="55">
        <f t="shared" si="22"/>
        <v>0</v>
      </c>
      <c r="AO118" s="72"/>
      <c r="AP118" s="74" t="str">
        <f t="shared" si="23"/>
        <v/>
      </c>
      <c r="AQ118" s="74" t="str">
        <f t="shared" si="24"/>
        <v/>
      </c>
    </row>
    <row r="119" spans="1:43" ht="13.8" thickBot="1" x14ac:dyDescent="0.3">
      <c r="A119" s="68">
        <v>18</v>
      </c>
      <c r="B119" s="67" t="s">
        <v>221</v>
      </c>
      <c r="C119" s="69" t="s">
        <v>46</v>
      </c>
      <c r="D119" s="66" t="s">
        <v>976</v>
      </c>
      <c r="E119" s="70" t="s">
        <v>13</v>
      </c>
      <c r="F119" s="54"/>
      <c r="G119" s="54"/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Y119" s="30">
        <v>0</v>
      </c>
      <c r="Z119" s="30">
        <v>0</v>
      </c>
      <c r="AA119" s="30">
        <v>0</v>
      </c>
      <c r="AB119" s="30">
        <v>0</v>
      </c>
      <c r="AC119" s="30">
        <v>0</v>
      </c>
      <c r="AD119" s="30">
        <v>0</v>
      </c>
      <c r="AE119" s="30">
        <v>0</v>
      </c>
      <c r="AF119" s="30">
        <v>0</v>
      </c>
      <c r="AG119" s="30">
        <v>0</v>
      </c>
      <c r="AH119" s="30">
        <v>0</v>
      </c>
      <c r="AI119" s="30">
        <v>0</v>
      </c>
      <c r="AJ119" s="30">
        <v>0</v>
      </c>
      <c r="AK119" s="30">
        <v>0</v>
      </c>
      <c r="AL119" s="30">
        <v>0</v>
      </c>
      <c r="AM119" s="55">
        <f t="shared" si="21"/>
        <v>0</v>
      </c>
      <c r="AN119" s="55">
        <f t="shared" si="22"/>
        <v>0</v>
      </c>
      <c r="AO119" s="72"/>
      <c r="AP119" s="74" t="str">
        <f t="shared" si="23"/>
        <v/>
      </c>
      <c r="AQ119" s="74" t="str">
        <f t="shared" si="24"/>
        <v/>
      </c>
    </row>
    <row r="120" spans="1:43" ht="13.8" thickBot="1" x14ac:dyDescent="0.3">
      <c r="A120" s="68">
        <v>19</v>
      </c>
      <c r="B120" s="67" t="s">
        <v>223</v>
      </c>
      <c r="C120" s="69" t="s">
        <v>977</v>
      </c>
      <c r="D120" s="66" t="s">
        <v>224</v>
      </c>
      <c r="E120" s="69" t="s">
        <v>978</v>
      </c>
      <c r="F120" s="54"/>
      <c r="G120" s="54"/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0</v>
      </c>
      <c r="U120" s="30">
        <v>0</v>
      </c>
      <c r="V120" s="30">
        <v>0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M120" s="55">
        <f t="shared" si="21"/>
        <v>0</v>
      </c>
      <c r="AN120" s="55">
        <f t="shared" si="22"/>
        <v>0</v>
      </c>
      <c r="AO120" s="72"/>
      <c r="AP120" s="74" t="str">
        <f t="shared" si="23"/>
        <v/>
      </c>
      <c r="AQ120" s="74" t="str">
        <f t="shared" si="24"/>
        <v/>
      </c>
    </row>
    <row r="121" spans="1:43" ht="13.8" thickBot="1" x14ac:dyDescent="0.3">
      <c r="A121" s="68">
        <v>20</v>
      </c>
      <c r="B121" s="67" t="s">
        <v>205</v>
      </c>
      <c r="C121" s="69" t="s">
        <v>979</v>
      </c>
      <c r="D121" s="66" t="s">
        <v>201</v>
      </c>
      <c r="E121" s="70" t="s">
        <v>13</v>
      </c>
      <c r="F121" s="54"/>
      <c r="G121" s="54"/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30">
        <v>0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0</v>
      </c>
      <c r="AK121" s="30">
        <v>0</v>
      </c>
      <c r="AL121" s="30">
        <v>0</v>
      </c>
      <c r="AM121" s="55">
        <f t="shared" si="21"/>
        <v>0</v>
      </c>
      <c r="AN121" s="55">
        <f t="shared" si="22"/>
        <v>0</v>
      </c>
      <c r="AO121" s="72"/>
      <c r="AP121" s="74" t="str">
        <f t="shared" si="23"/>
        <v/>
      </c>
      <c r="AQ121" s="74" t="str">
        <f t="shared" si="24"/>
        <v/>
      </c>
    </row>
    <row r="122" spans="1:43" ht="13.8" thickBot="1" x14ac:dyDescent="0.3">
      <c r="A122" s="68">
        <v>21</v>
      </c>
      <c r="B122" s="67" t="s">
        <v>209</v>
      </c>
      <c r="C122" s="69" t="s">
        <v>979</v>
      </c>
      <c r="D122" s="66" t="s">
        <v>210</v>
      </c>
      <c r="E122" s="70" t="s">
        <v>13</v>
      </c>
      <c r="F122" s="54"/>
      <c r="G122" s="54"/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M122" s="55">
        <f t="shared" si="21"/>
        <v>0</v>
      </c>
      <c r="AN122" s="55">
        <f t="shared" si="22"/>
        <v>0</v>
      </c>
      <c r="AO122" s="72"/>
      <c r="AP122" s="74" t="str">
        <f t="shared" si="23"/>
        <v/>
      </c>
      <c r="AQ122" s="74" t="str">
        <f t="shared" si="24"/>
        <v/>
      </c>
    </row>
    <row r="123" spans="1:43" ht="13.8" thickBot="1" x14ac:dyDescent="0.3">
      <c r="A123" s="68">
        <v>22</v>
      </c>
      <c r="B123" s="67" t="s">
        <v>207</v>
      </c>
      <c r="C123" s="69" t="s">
        <v>980</v>
      </c>
      <c r="D123" s="66" t="s">
        <v>201</v>
      </c>
      <c r="E123" s="69" t="s">
        <v>208</v>
      </c>
      <c r="F123" s="54"/>
      <c r="G123" s="54"/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0">
        <v>0</v>
      </c>
      <c r="AC123" s="30">
        <v>0</v>
      </c>
      <c r="AD123" s="30">
        <v>0</v>
      </c>
      <c r="AE123" s="30">
        <v>0</v>
      </c>
      <c r="AF123" s="30">
        <v>0</v>
      </c>
      <c r="AG123" s="30">
        <v>0</v>
      </c>
      <c r="AH123" s="30">
        <v>0</v>
      </c>
      <c r="AI123" s="30">
        <v>0</v>
      </c>
      <c r="AJ123" s="30">
        <v>0</v>
      </c>
      <c r="AK123" s="30">
        <v>0</v>
      </c>
      <c r="AL123" s="30">
        <v>0</v>
      </c>
      <c r="AM123" s="55">
        <f t="shared" si="21"/>
        <v>0</v>
      </c>
      <c r="AN123" s="55">
        <f t="shared" si="22"/>
        <v>0</v>
      </c>
      <c r="AO123" s="72"/>
      <c r="AP123" s="74" t="str">
        <f t="shared" si="23"/>
        <v/>
      </c>
      <c r="AQ123" s="74" t="str">
        <f t="shared" si="24"/>
        <v/>
      </c>
    </row>
    <row r="124" spans="1:43" ht="13.8" thickBot="1" x14ac:dyDescent="0.3">
      <c r="A124" s="68">
        <v>23</v>
      </c>
      <c r="B124" s="67" t="s">
        <v>982</v>
      </c>
      <c r="C124" s="69" t="s">
        <v>981</v>
      </c>
      <c r="D124" s="66" t="s">
        <v>201</v>
      </c>
      <c r="E124" s="71">
        <v>0.02</v>
      </c>
      <c r="F124" s="54"/>
      <c r="G124" s="54"/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Y124" s="30">
        <v>0</v>
      </c>
      <c r="Z124" s="30">
        <v>0</v>
      </c>
      <c r="AA124" s="30">
        <v>0</v>
      </c>
      <c r="AB124" s="30">
        <v>0</v>
      </c>
      <c r="AC124" s="30">
        <v>0</v>
      </c>
      <c r="AD124" s="30">
        <v>0</v>
      </c>
      <c r="AE124" s="30">
        <v>0</v>
      </c>
      <c r="AF124" s="30">
        <v>0</v>
      </c>
      <c r="AG124" s="30">
        <v>0</v>
      </c>
      <c r="AH124" s="30">
        <v>0</v>
      </c>
      <c r="AI124" s="30">
        <v>0</v>
      </c>
      <c r="AJ124" s="30">
        <v>0</v>
      </c>
      <c r="AK124" s="30">
        <v>0</v>
      </c>
      <c r="AL124" s="30">
        <v>0</v>
      </c>
      <c r="AM124" s="55">
        <f t="shared" si="21"/>
        <v>0</v>
      </c>
      <c r="AN124" s="55">
        <f t="shared" si="22"/>
        <v>0</v>
      </c>
      <c r="AO124" s="72"/>
      <c r="AP124" s="74" t="str">
        <f t="shared" si="23"/>
        <v/>
      </c>
      <c r="AQ124" s="74" t="str">
        <f t="shared" si="24"/>
        <v/>
      </c>
    </row>
    <row r="125" spans="1:43" ht="13.8" thickBot="1" x14ac:dyDescent="0.3">
      <c r="A125" s="68">
        <v>24</v>
      </c>
      <c r="B125" s="67" t="s">
        <v>216</v>
      </c>
      <c r="C125" s="69" t="s">
        <v>983</v>
      </c>
      <c r="D125" s="66" t="s">
        <v>213</v>
      </c>
      <c r="E125" s="70" t="s">
        <v>13</v>
      </c>
      <c r="F125" s="54"/>
      <c r="G125" s="54"/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30">
        <v>0</v>
      </c>
      <c r="AD125" s="30">
        <v>0</v>
      </c>
      <c r="AE125" s="30">
        <v>0</v>
      </c>
      <c r="AF125" s="30">
        <v>0</v>
      </c>
      <c r="AG125" s="30">
        <v>0</v>
      </c>
      <c r="AH125" s="30">
        <v>0</v>
      </c>
      <c r="AI125" s="30">
        <v>0</v>
      </c>
      <c r="AJ125" s="30">
        <v>0</v>
      </c>
      <c r="AK125" s="30">
        <v>0</v>
      </c>
      <c r="AL125" s="30">
        <v>0</v>
      </c>
      <c r="AM125" s="55">
        <f t="shared" si="21"/>
        <v>0</v>
      </c>
      <c r="AN125" s="55">
        <f t="shared" si="22"/>
        <v>0</v>
      </c>
      <c r="AO125" s="72"/>
      <c r="AP125" s="74" t="str">
        <f t="shared" si="23"/>
        <v/>
      </c>
      <c r="AQ125" s="74" t="str">
        <f t="shared" si="24"/>
        <v/>
      </c>
    </row>
    <row r="126" spans="1:43" ht="13.8" thickBot="1" x14ac:dyDescent="0.3">
      <c r="A126" s="68">
        <v>25</v>
      </c>
      <c r="B126" s="67" t="s">
        <v>217</v>
      </c>
      <c r="C126" s="69" t="s">
        <v>983</v>
      </c>
      <c r="D126" s="66" t="s">
        <v>198</v>
      </c>
      <c r="E126" s="70" t="s">
        <v>13</v>
      </c>
      <c r="F126" s="54"/>
      <c r="G126" s="54"/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30">
        <v>0</v>
      </c>
      <c r="AA126" s="30">
        <v>0</v>
      </c>
      <c r="AB126" s="30">
        <v>0</v>
      </c>
      <c r="AC126" s="30">
        <v>0</v>
      </c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0</v>
      </c>
      <c r="AK126" s="30">
        <v>0</v>
      </c>
      <c r="AL126" s="30">
        <v>0</v>
      </c>
      <c r="AM126" s="55">
        <f t="shared" si="21"/>
        <v>0</v>
      </c>
      <c r="AN126" s="55">
        <f t="shared" si="22"/>
        <v>0</v>
      </c>
      <c r="AO126" s="72"/>
      <c r="AP126" s="74" t="str">
        <f t="shared" si="23"/>
        <v/>
      </c>
      <c r="AQ126" s="74" t="str">
        <f t="shared" si="24"/>
        <v/>
      </c>
    </row>
    <row r="127" spans="1:43" ht="13.8" thickBot="1" x14ac:dyDescent="0.3">
      <c r="A127" s="68">
        <v>26</v>
      </c>
      <c r="B127" s="67" t="s">
        <v>225</v>
      </c>
      <c r="C127" s="69" t="s">
        <v>983</v>
      </c>
      <c r="D127" s="66" t="s">
        <v>198</v>
      </c>
      <c r="E127" s="70" t="s">
        <v>13</v>
      </c>
      <c r="F127" s="54"/>
      <c r="G127" s="54"/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</v>
      </c>
      <c r="Z127" s="30">
        <v>0</v>
      </c>
      <c r="AA127" s="30">
        <v>0</v>
      </c>
      <c r="AB127" s="30">
        <v>0</v>
      </c>
      <c r="AC127" s="30">
        <v>0</v>
      </c>
      <c r="AD127" s="30">
        <v>0</v>
      </c>
      <c r="AE127" s="30">
        <v>0</v>
      </c>
      <c r="AF127" s="30">
        <v>0</v>
      </c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>
        <v>0</v>
      </c>
      <c r="AM127" s="55">
        <f t="shared" si="21"/>
        <v>0</v>
      </c>
      <c r="AN127" s="55">
        <f t="shared" si="22"/>
        <v>0</v>
      </c>
      <c r="AO127" s="72"/>
      <c r="AP127" s="74" t="str">
        <f t="shared" si="23"/>
        <v/>
      </c>
      <c r="AQ127" s="74" t="str">
        <f t="shared" si="24"/>
        <v/>
      </c>
    </row>
    <row r="128" spans="1:43" ht="13.8" thickBot="1" x14ac:dyDescent="0.3">
      <c r="A128" s="68">
        <v>27</v>
      </c>
      <c r="B128" s="67" t="s">
        <v>222</v>
      </c>
      <c r="C128" s="69" t="s">
        <v>984</v>
      </c>
      <c r="D128" s="66" t="s">
        <v>976</v>
      </c>
      <c r="E128" s="70" t="s">
        <v>13</v>
      </c>
      <c r="F128" s="54"/>
      <c r="G128" s="54"/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30">
        <v>0</v>
      </c>
      <c r="AA128" s="30">
        <v>0</v>
      </c>
      <c r="AB128" s="30">
        <v>0</v>
      </c>
      <c r="AC128" s="30">
        <v>0</v>
      </c>
      <c r="AD128" s="30">
        <v>0</v>
      </c>
      <c r="AE128" s="30">
        <v>0</v>
      </c>
      <c r="AF128" s="30">
        <v>0</v>
      </c>
      <c r="AG128" s="30">
        <v>0</v>
      </c>
      <c r="AH128" s="30">
        <v>0</v>
      </c>
      <c r="AI128" s="30">
        <v>0</v>
      </c>
      <c r="AJ128" s="30">
        <v>0</v>
      </c>
      <c r="AK128" s="30">
        <v>0</v>
      </c>
      <c r="AL128" s="30">
        <v>0</v>
      </c>
      <c r="AM128" s="55">
        <f t="shared" si="21"/>
        <v>0</v>
      </c>
      <c r="AN128" s="55">
        <f t="shared" si="22"/>
        <v>0</v>
      </c>
      <c r="AO128" s="72"/>
      <c r="AP128" s="74" t="str">
        <f t="shared" si="23"/>
        <v/>
      </c>
      <c r="AQ128" s="74" t="str">
        <f t="shared" si="24"/>
        <v/>
      </c>
    </row>
    <row r="129" spans="1:43" ht="13.8" thickBot="1" x14ac:dyDescent="0.3">
      <c r="A129" s="68">
        <v>28</v>
      </c>
      <c r="B129" s="67" t="s">
        <v>202</v>
      </c>
      <c r="C129" s="69" t="s">
        <v>987</v>
      </c>
      <c r="D129" s="66" t="s">
        <v>976</v>
      </c>
      <c r="E129" s="70" t="s">
        <v>13</v>
      </c>
      <c r="F129" s="54"/>
      <c r="G129" s="54"/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30">
        <v>0</v>
      </c>
      <c r="AD129" s="30">
        <v>0</v>
      </c>
      <c r="AE129" s="30">
        <v>0</v>
      </c>
      <c r="AF129" s="30">
        <v>0</v>
      </c>
      <c r="AG129" s="30">
        <v>0</v>
      </c>
      <c r="AH129" s="30">
        <v>0</v>
      </c>
      <c r="AI129" s="30">
        <v>0</v>
      </c>
      <c r="AJ129" s="30">
        <v>0</v>
      </c>
      <c r="AK129" s="30">
        <v>0</v>
      </c>
      <c r="AL129" s="30">
        <v>0</v>
      </c>
      <c r="AM129" s="55">
        <f t="shared" si="21"/>
        <v>0</v>
      </c>
      <c r="AN129" s="55">
        <f t="shared" si="22"/>
        <v>0</v>
      </c>
      <c r="AO129" s="72"/>
      <c r="AP129" s="74" t="str">
        <f t="shared" si="23"/>
        <v/>
      </c>
      <c r="AQ129" s="74" t="str">
        <f t="shared" si="24"/>
        <v/>
      </c>
    </row>
    <row r="130" spans="1:43" ht="13.8" thickBot="1" x14ac:dyDescent="0.3">
      <c r="A130" s="68">
        <v>29</v>
      </c>
      <c r="B130" s="67" t="s">
        <v>214</v>
      </c>
      <c r="C130" s="69" t="s">
        <v>987</v>
      </c>
      <c r="D130" s="66" t="s">
        <v>976</v>
      </c>
      <c r="E130" s="70" t="s">
        <v>13</v>
      </c>
      <c r="F130" s="54"/>
      <c r="G130" s="54"/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Y130" s="30">
        <v>0</v>
      </c>
      <c r="Z130" s="30">
        <v>0</v>
      </c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  <c r="AF130" s="30">
        <v>0</v>
      </c>
      <c r="AG130" s="30">
        <v>0</v>
      </c>
      <c r="AH130" s="30">
        <v>0</v>
      </c>
      <c r="AI130" s="30">
        <v>0</v>
      </c>
      <c r="AJ130" s="30">
        <v>0</v>
      </c>
      <c r="AK130" s="30">
        <v>0</v>
      </c>
      <c r="AL130" s="30">
        <v>0</v>
      </c>
      <c r="AM130" s="55">
        <f t="shared" si="21"/>
        <v>0</v>
      </c>
      <c r="AN130" s="55">
        <f t="shared" si="22"/>
        <v>0</v>
      </c>
      <c r="AO130" s="72"/>
      <c r="AP130" s="74" t="str">
        <f t="shared" si="23"/>
        <v/>
      </c>
      <c r="AQ130" s="74" t="str">
        <f t="shared" si="24"/>
        <v/>
      </c>
    </row>
    <row r="131" spans="1:43" ht="13.8" thickBot="1" x14ac:dyDescent="0.3">
      <c r="A131" s="68">
        <v>30</v>
      </c>
      <c r="B131" s="67" t="s">
        <v>993</v>
      </c>
      <c r="C131" s="69" t="s">
        <v>988</v>
      </c>
      <c r="D131" s="66" t="s">
        <v>219</v>
      </c>
      <c r="E131" s="66" t="s">
        <v>994</v>
      </c>
      <c r="F131" s="54"/>
      <c r="G131" s="54"/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0</v>
      </c>
      <c r="AB131" s="30">
        <v>0</v>
      </c>
      <c r="AC131" s="30">
        <v>0</v>
      </c>
      <c r="AD131" s="30">
        <v>0</v>
      </c>
      <c r="AE131" s="30">
        <v>0</v>
      </c>
      <c r="AF131" s="30">
        <v>0</v>
      </c>
      <c r="AG131" s="30">
        <v>0</v>
      </c>
      <c r="AH131" s="30">
        <v>0</v>
      </c>
      <c r="AI131" s="30">
        <v>0</v>
      </c>
      <c r="AJ131" s="30">
        <v>0</v>
      </c>
      <c r="AK131" s="30">
        <v>0</v>
      </c>
      <c r="AL131" s="30">
        <v>0</v>
      </c>
      <c r="AM131" s="55">
        <f t="shared" si="21"/>
        <v>0</v>
      </c>
      <c r="AN131" s="55">
        <f t="shared" si="22"/>
        <v>0</v>
      </c>
      <c r="AO131" s="72"/>
      <c r="AP131" s="74" t="str">
        <f t="shared" si="23"/>
        <v/>
      </c>
      <c r="AQ131" s="74" t="str">
        <f t="shared" si="24"/>
        <v/>
      </c>
    </row>
    <row r="132" spans="1:43" ht="13.8" thickBot="1" x14ac:dyDescent="0.3">
      <c r="A132" s="68">
        <v>31</v>
      </c>
      <c r="B132" s="67" t="s">
        <v>990</v>
      </c>
      <c r="C132" s="69" t="s">
        <v>989</v>
      </c>
      <c r="D132" s="66" t="s">
        <v>219</v>
      </c>
      <c r="E132" s="70" t="s">
        <v>13</v>
      </c>
      <c r="F132" s="54"/>
      <c r="G132" s="54"/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30">
        <v>0</v>
      </c>
      <c r="X132" s="30">
        <v>0</v>
      </c>
      <c r="Y132" s="30">
        <v>0</v>
      </c>
      <c r="Z132" s="30">
        <v>0</v>
      </c>
      <c r="AA132" s="30">
        <v>0</v>
      </c>
      <c r="AB132" s="30">
        <v>0</v>
      </c>
      <c r="AC132" s="30">
        <v>0</v>
      </c>
      <c r="AD132" s="30">
        <v>0</v>
      </c>
      <c r="AE132" s="30">
        <v>0</v>
      </c>
      <c r="AF132" s="30">
        <v>0</v>
      </c>
      <c r="AG132" s="30">
        <v>0</v>
      </c>
      <c r="AH132" s="30">
        <v>0</v>
      </c>
      <c r="AI132" s="30">
        <v>0</v>
      </c>
      <c r="AJ132" s="30">
        <v>0</v>
      </c>
      <c r="AK132" s="30">
        <v>0</v>
      </c>
      <c r="AL132" s="30">
        <v>0</v>
      </c>
      <c r="AM132" s="55">
        <f t="shared" si="21"/>
        <v>0</v>
      </c>
      <c r="AN132" s="55">
        <f t="shared" si="22"/>
        <v>0</v>
      </c>
      <c r="AO132" s="72"/>
      <c r="AP132" s="74" t="str">
        <f t="shared" si="23"/>
        <v/>
      </c>
      <c r="AQ132" s="74" t="str">
        <f t="shared" si="24"/>
        <v/>
      </c>
    </row>
    <row r="133" spans="1:43" ht="13.8" thickBot="1" x14ac:dyDescent="0.3">
      <c r="A133" s="68">
        <v>32</v>
      </c>
      <c r="B133" s="67" t="s">
        <v>196</v>
      </c>
      <c r="C133" s="69" t="s">
        <v>991</v>
      </c>
      <c r="D133" s="66" t="s">
        <v>213</v>
      </c>
      <c r="E133" s="66" t="s">
        <v>197</v>
      </c>
      <c r="F133" s="54"/>
      <c r="G133" s="54"/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0">
        <v>0</v>
      </c>
      <c r="AC133" s="30">
        <v>0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30">
        <v>0</v>
      </c>
      <c r="AJ133" s="30">
        <v>0</v>
      </c>
      <c r="AK133" s="30">
        <v>0</v>
      </c>
      <c r="AL133" s="30">
        <v>0</v>
      </c>
      <c r="AM133" s="55">
        <f t="shared" si="21"/>
        <v>0</v>
      </c>
      <c r="AN133" s="55">
        <f t="shared" si="22"/>
        <v>0</v>
      </c>
      <c r="AO133" s="72"/>
      <c r="AP133" s="74" t="str">
        <f t="shared" si="23"/>
        <v/>
      </c>
      <c r="AQ133" s="74" t="str">
        <f t="shared" si="24"/>
        <v/>
      </c>
    </row>
    <row r="134" spans="1:43" ht="13.8" thickBot="1" x14ac:dyDescent="0.3">
      <c r="A134" s="68">
        <v>33</v>
      </c>
      <c r="B134" s="67" t="s">
        <v>215</v>
      </c>
      <c r="C134" s="69" t="s">
        <v>992</v>
      </c>
      <c r="D134" s="66" t="s">
        <v>198</v>
      </c>
      <c r="E134" s="66" t="s">
        <v>206</v>
      </c>
      <c r="F134" s="54"/>
      <c r="G134" s="54"/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v>0</v>
      </c>
      <c r="AD134" s="30">
        <v>0</v>
      </c>
      <c r="AE134" s="30">
        <v>0</v>
      </c>
      <c r="AF134" s="30">
        <v>0</v>
      </c>
      <c r="AG134" s="30">
        <v>0</v>
      </c>
      <c r="AH134" s="30">
        <v>0</v>
      </c>
      <c r="AI134" s="30">
        <v>0</v>
      </c>
      <c r="AJ134" s="30">
        <v>0</v>
      </c>
      <c r="AK134" s="30">
        <v>0</v>
      </c>
      <c r="AL134" s="30">
        <v>0</v>
      </c>
      <c r="AM134" s="55">
        <f t="shared" si="21"/>
        <v>0</v>
      </c>
      <c r="AN134" s="55">
        <f t="shared" si="22"/>
        <v>0</v>
      </c>
      <c r="AO134" s="72"/>
      <c r="AP134" s="74" t="str">
        <f t="shared" si="23"/>
        <v/>
      </c>
      <c r="AQ134" s="74" t="str">
        <f t="shared" si="24"/>
        <v/>
      </c>
    </row>
    <row r="135" spans="1:43" ht="13.8" thickBot="1" x14ac:dyDescent="0.3">
      <c r="A135" s="68">
        <v>34</v>
      </c>
      <c r="B135" s="67" t="s">
        <v>226</v>
      </c>
      <c r="C135" s="69" t="s">
        <v>992</v>
      </c>
      <c r="D135" s="66" t="s">
        <v>230</v>
      </c>
      <c r="E135" s="66" t="s">
        <v>227</v>
      </c>
      <c r="F135" s="54"/>
      <c r="G135" s="54"/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0</v>
      </c>
      <c r="AM135" s="55">
        <f t="shared" si="21"/>
        <v>0</v>
      </c>
      <c r="AN135" s="55">
        <f t="shared" si="22"/>
        <v>0</v>
      </c>
      <c r="AO135" s="72"/>
      <c r="AP135" s="74" t="str">
        <f t="shared" si="23"/>
        <v/>
      </c>
      <c r="AQ135" s="74" t="str">
        <f t="shared" si="24"/>
        <v/>
      </c>
    </row>
    <row r="136" spans="1:43" ht="13.8" thickBot="1" x14ac:dyDescent="0.3">
      <c r="A136" s="68">
        <v>35</v>
      </c>
      <c r="B136" s="67"/>
      <c r="C136" s="69"/>
      <c r="D136" s="66"/>
      <c r="E136" s="66"/>
      <c r="F136" s="54"/>
      <c r="G136" s="54"/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Y136" s="30">
        <v>0</v>
      </c>
      <c r="Z136" s="30">
        <v>0</v>
      </c>
      <c r="AA136" s="30">
        <v>0</v>
      </c>
      <c r="AB136" s="30">
        <v>0</v>
      </c>
      <c r="AC136" s="30">
        <v>0</v>
      </c>
      <c r="AD136" s="30">
        <v>0</v>
      </c>
      <c r="AE136" s="30">
        <v>0</v>
      </c>
      <c r="AF136" s="30">
        <v>0</v>
      </c>
      <c r="AG136" s="30">
        <v>0</v>
      </c>
      <c r="AH136" s="30">
        <v>0</v>
      </c>
      <c r="AI136" s="30">
        <v>0</v>
      </c>
      <c r="AJ136" s="30">
        <v>0</v>
      </c>
      <c r="AK136" s="30">
        <v>0</v>
      </c>
      <c r="AL136" s="30">
        <v>0</v>
      </c>
      <c r="AM136" s="55">
        <f t="shared" si="21"/>
        <v>0</v>
      </c>
      <c r="AN136" s="55">
        <f t="shared" si="22"/>
        <v>0</v>
      </c>
      <c r="AO136" s="72"/>
      <c r="AP136" s="74" t="str">
        <f t="shared" si="23"/>
        <v/>
      </c>
      <c r="AQ136" s="74" t="str">
        <f t="shared" si="24"/>
        <v/>
      </c>
    </row>
    <row r="137" spans="1:43" ht="13.8" thickBot="1" x14ac:dyDescent="0.3">
      <c r="A137" s="68">
        <v>36</v>
      </c>
      <c r="B137" s="67"/>
      <c r="C137" s="69"/>
      <c r="D137" s="66"/>
      <c r="E137" s="66"/>
      <c r="F137" s="54"/>
      <c r="G137" s="54"/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v>0</v>
      </c>
      <c r="AD137" s="30">
        <v>0</v>
      </c>
      <c r="AE137" s="30">
        <v>0</v>
      </c>
      <c r="AF137" s="30">
        <v>0</v>
      </c>
      <c r="AG137" s="30">
        <v>0</v>
      </c>
      <c r="AH137" s="30">
        <v>0</v>
      </c>
      <c r="AI137" s="30">
        <v>0</v>
      </c>
      <c r="AJ137" s="30">
        <v>0</v>
      </c>
      <c r="AK137" s="30">
        <v>0</v>
      </c>
      <c r="AL137" s="30">
        <v>0</v>
      </c>
      <c r="AM137" s="55">
        <f t="shared" si="21"/>
        <v>0</v>
      </c>
      <c r="AN137" s="55">
        <f t="shared" si="22"/>
        <v>0</v>
      </c>
      <c r="AO137" s="72"/>
      <c r="AP137" s="74" t="str">
        <f t="shared" si="23"/>
        <v/>
      </c>
      <c r="AQ137" s="74" t="str">
        <f t="shared" si="24"/>
        <v/>
      </c>
    </row>
    <row r="138" spans="1:43" ht="13.8" thickBot="1" x14ac:dyDescent="0.3">
      <c r="A138" s="68">
        <v>37</v>
      </c>
      <c r="B138" s="67"/>
      <c r="C138" s="69"/>
      <c r="D138" s="66"/>
      <c r="E138" s="66"/>
      <c r="F138" s="54"/>
      <c r="G138" s="54"/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0">
        <v>0</v>
      </c>
      <c r="AC138" s="30">
        <v>0</v>
      </c>
      <c r="AD138" s="30">
        <v>0</v>
      </c>
      <c r="AE138" s="30">
        <v>0</v>
      </c>
      <c r="AF138" s="30">
        <v>0</v>
      </c>
      <c r="AG138" s="30">
        <v>0</v>
      </c>
      <c r="AH138" s="30">
        <v>0</v>
      </c>
      <c r="AI138" s="30">
        <v>0</v>
      </c>
      <c r="AJ138" s="30">
        <v>0</v>
      </c>
      <c r="AK138" s="30">
        <v>0</v>
      </c>
      <c r="AL138" s="30">
        <v>0</v>
      </c>
      <c r="AM138" s="55">
        <f t="shared" si="21"/>
        <v>0</v>
      </c>
      <c r="AN138" s="55">
        <f t="shared" si="22"/>
        <v>0</v>
      </c>
      <c r="AO138" s="72"/>
      <c r="AP138" s="74" t="str">
        <f t="shared" si="23"/>
        <v/>
      </c>
      <c r="AQ138" s="74" t="str">
        <f t="shared" si="24"/>
        <v/>
      </c>
    </row>
    <row r="139" spans="1:43" ht="13.8" thickBot="1" x14ac:dyDescent="0.3">
      <c r="A139" s="68">
        <v>38</v>
      </c>
      <c r="B139" s="67"/>
      <c r="C139" s="69"/>
      <c r="D139" s="66"/>
      <c r="E139" s="66"/>
      <c r="F139" s="54"/>
      <c r="G139" s="54"/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30">
        <v>0</v>
      </c>
      <c r="AC139" s="30">
        <v>0</v>
      </c>
      <c r="AD139" s="30">
        <v>0</v>
      </c>
      <c r="AE139" s="30">
        <v>0</v>
      </c>
      <c r="AF139" s="30">
        <v>0</v>
      </c>
      <c r="AG139" s="30">
        <v>0</v>
      </c>
      <c r="AH139" s="30">
        <v>0</v>
      </c>
      <c r="AI139" s="30">
        <v>0</v>
      </c>
      <c r="AJ139" s="30">
        <v>0</v>
      </c>
      <c r="AK139" s="30">
        <v>0</v>
      </c>
      <c r="AL139" s="30">
        <v>0</v>
      </c>
      <c r="AM139" s="55">
        <f t="shared" si="21"/>
        <v>0</v>
      </c>
      <c r="AN139" s="55">
        <f t="shared" si="22"/>
        <v>0</v>
      </c>
      <c r="AO139" s="72"/>
      <c r="AP139" s="74" t="str">
        <f t="shared" si="23"/>
        <v/>
      </c>
      <c r="AQ139" s="74" t="str">
        <f t="shared" si="24"/>
        <v/>
      </c>
    </row>
    <row r="140" spans="1:43" ht="13.8" thickBot="1" x14ac:dyDescent="0.3">
      <c r="A140" s="68">
        <v>39</v>
      </c>
      <c r="B140" s="54"/>
      <c r="C140" s="54"/>
      <c r="D140" s="66"/>
      <c r="E140" s="66"/>
      <c r="F140" s="54"/>
      <c r="G140" s="54"/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>
        <v>0</v>
      </c>
      <c r="AM140" s="55">
        <f t="shared" si="21"/>
        <v>0</v>
      </c>
      <c r="AN140" s="55">
        <f t="shared" si="22"/>
        <v>0</v>
      </c>
      <c r="AO140" s="72"/>
      <c r="AP140" s="74" t="str">
        <f t="shared" si="23"/>
        <v/>
      </c>
      <c r="AQ140" s="74" t="str">
        <f t="shared" si="24"/>
        <v/>
      </c>
    </row>
    <row r="141" spans="1:43" ht="18.600000000000001" customHeight="1" thickBot="1" x14ac:dyDescent="0.3">
      <c r="A141" s="92"/>
      <c r="B141" s="93"/>
      <c r="C141" s="42"/>
      <c r="D141" s="42"/>
      <c r="E141" s="42"/>
      <c r="F141" s="42"/>
      <c r="G141" s="42"/>
      <c r="H141" s="55">
        <f t="shared" ref="H141:AN141" si="25">SUM(H101:H140)</f>
        <v>0</v>
      </c>
      <c r="I141" s="55">
        <f t="shared" si="25"/>
        <v>0</v>
      </c>
      <c r="J141" s="55">
        <f t="shared" si="25"/>
        <v>0</v>
      </c>
      <c r="K141" s="55">
        <f t="shared" si="25"/>
        <v>0</v>
      </c>
      <c r="L141" s="55">
        <f t="shared" si="25"/>
        <v>0</v>
      </c>
      <c r="M141" s="55">
        <f t="shared" si="25"/>
        <v>0</v>
      </c>
      <c r="N141" s="55">
        <f t="shared" si="25"/>
        <v>0</v>
      </c>
      <c r="O141" s="55">
        <f t="shared" si="25"/>
        <v>0</v>
      </c>
      <c r="P141" s="55">
        <f t="shared" si="25"/>
        <v>0</v>
      </c>
      <c r="Q141" s="55">
        <f t="shared" si="25"/>
        <v>0</v>
      </c>
      <c r="R141" s="55">
        <f t="shared" si="25"/>
        <v>0</v>
      </c>
      <c r="S141" s="55">
        <f t="shared" si="25"/>
        <v>0</v>
      </c>
      <c r="T141" s="55">
        <f t="shared" si="25"/>
        <v>0</v>
      </c>
      <c r="U141" s="55">
        <f t="shared" si="25"/>
        <v>0</v>
      </c>
      <c r="V141" s="55">
        <f t="shared" si="25"/>
        <v>0</v>
      </c>
      <c r="W141" s="55">
        <f t="shared" si="25"/>
        <v>0</v>
      </c>
      <c r="X141" s="55">
        <f t="shared" si="25"/>
        <v>0</v>
      </c>
      <c r="Y141" s="55">
        <f t="shared" si="25"/>
        <v>0</v>
      </c>
      <c r="Z141" s="55">
        <f t="shared" si="25"/>
        <v>0</v>
      </c>
      <c r="AA141" s="55">
        <f t="shared" si="25"/>
        <v>0</v>
      </c>
      <c r="AB141" s="55">
        <f t="shared" si="25"/>
        <v>0</v>
      </c>
      <c r="AC141" s="55">
        <f t="shared" si="25"/>
        <v>0</v>
      </c>
      <c r="AD141" s="55">
        <f t="shared" si="25"/>
        <v>0</v>
      </c>
      <c r="AE141" s="55">
        <f t="shared" si="25"/>
        <v>0</v>
      </c>
      <c r="AF141" s="55">
        <f t="shared" si="25"/>
        <v>0</v>
      </c>
      <c r="AG141" s="55">
        <f t="shared" si="25"/>
        <v>0</v>
      </c>
      <c r="AH141" s="55">
        <f t="shared" si="25"/>
        <v>0</v>
      </c>
      <c r="AI141" s="55">
        <f t="shared" si="25"/>
        <v>0</v>
      </c>
      <c r="AJ141" s="55">
        <f t="shared" si="25"/>
        <v>0</v>
      </c>
      <c r="AK141" s="55">
        <f t="shared" si="25"/>
        <v>0</v>
      </c>
      <c r="AL141" s="55">
        <f t="shared" si="25"/>
        <v>0</v>
      </c>
      <c r="AM141" s="30">
        <f t="shared" si="25"/>
        <v>0</v>
      </c>
      <c r="AN141" s="30">
        <f t="shared" si="25"/>
        <v>0</v>
      </c>
    </row>
    <row r="143" spans="1:43" ht="20.399999999999999" customHeight="1" x14ac:dyDescent="0.25">
      <c r="A143" s="92" t="s">
        <v>174</v>
      </c>
      <c r="B143" s="93"/>
      <c r="C143" s="42"/>
      <c r="D143" s="42"/>
      <c r="E143" s="42"/>
      <c r="F143" s="42"/>
      <c r="G143" s="42"/>
      <c r="H143" s="111">
        <v>45748</v>
      </c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12"/>
      <c r="AK143" s="112"/>
      <c r="AL143" s="112"/>
      <c r="AM143" s="140" t="s">
        <v>954</v>
      </c>
      <c r="AN143" s="146" t="s">
        <v>953</v>
      </c>
      <c r="AO143" s="148" t="s">
        <v>955</v>
      </c>
      <c r="AP143" s="144" t="s">
        <v>958</v>
      </c>
      <c r="AQ143" s="144"/>
    </row>
    <row r="144" spans="1:43" ht="34.200000000000003" customHeight="1" thickBot="1" x14ac:dyDescent="0.3">
      <c r="A144" s="138" t="s">
        <v>948</v>
      </c>
      <c r="B144" s="138" t="s">
        <v>947</v>
      </c>
      <c r="C144" s="138" t="s">
        <v>959</v>
      </c>
      <c r="D144" s="138" t="s">
        <v>949</v>
      </c>
      <c r="E144" s="138"/>
      <c r="F144" s="154" t="s">
        <v>192</v>
      </c>
      <c r="G144" s="142" t="s">
        <v>193</v>
      </c>
      <c r="H144" s="45">
        <v>1</v>
      </c>
      <c r="I144" s="45">
        <v>2</v>
      </c>
      <c r="J144" s="45">
        <v>3</v>
      </c>
      <c r="K144" s="45">
        <v>4</v>
      </c>
      <c r="L144" s="45">
        <v>5</v>
      </c>
      <c r="M144" s="45">
        <v>6</v>
      </c>
      <c r="N144" s="45">
        <v>7</v>
      </c>
      <c r="O144" s="45">
        <v>8</v>
      </c>
      <c r="P144" s="45">
        <v>9</v>
      </c>
      <c r="Q144" s="45">
        <v>10</v>
      </c>
      <c r="R144" s="45">
        <v>11</v>
      </c>
      <c r="S144" s="45">
        <v>12</v>
      </c>
      <c r="T144" s="45">
        <v>13</v>
      </c>
      <c r="U144" s="45">
        <v>14</v>
      </c>
      <c r="V144" s="45">
        <v>15</v>
      </c>
      <c r="W144" s="45">
        <v>16</v>
      </c>
      <c r="X144" s="45">
        <v>17</v>
      </c>
      <c r="Y144" s="45">
        <v>18</v>
      </c>
      <c r="Z144" s="45">
        <v>19</v>
      </c>
      <c r="AA144" s="45">
        <v>20</v>
      </c>
      <c r="AB144" s="45">
        <v>21</v>
      </c>
      <c r="AC144" s="45">
        <v>22</v>
      </c>
      <c r="AD144" s="45">
        <v>23</v>
      </c>
      <c r="AE144" s="45">
        <v>24</v>
      </c>
      <c r="AF144" s="45">
        <v>25</v>
      </c>
      <c r="AG144" s="45">
        <v>26</v>
      </c>
      <c r="AH144" s="45">
        <v>27</v>
      </c>
      <c r="AI144" s="45">
        <v>28</v>
      </c>
      <c r="AJ144" s="45">
        <v>29</v>
      </c>
      <c r="AK144" s="45">
        <v>30</v>
      </c>
      <c r="AL144" s="45"/>
      <c r="AM144" s="140"/>
      <c r="AN144" s="146"/>
      <c r="AO144" s="148"/>
      <c r="AP144" s="150" t="s">
        <v>956</v>
      </c>
      <c r="AQ144" s="152" t="s">
        <v>957</v>
      </c>
    </row>
    <row r="145" spans="1:43" ht="13.8" thickBot="1" x14ac:dyDescent="0.3">
      <c r="A145" s="139"/>
      <c r="B145" s="139"/>
      <c r="C145" s="145"/>
      <c r="D145" s="64" t="s">
        <v>950</v>
      </c>
      <c r="E145" s="64" t="s">
        <v>951</v>
      </c>
      <c r="F145" s="155"/>
      <c r="G145" s="143"/>
      <c r="H145" s="28" t="s">
        <v>24</v>
      </c>
      <c r="I145" s="28" t="s">
        <v>24</v>
      </c>
      <c r="J145" s="28" t="s">
        <v>180</v>
      </c>
      <c r="K145" s="28" t="s">
        <v>181</v>
      </c>
      <c r="L145" s="28" t="s">
        <v>182</v>
      </c>
      <c r="M145" s="28" t="s">
        <v>183</v>
      </c>
      <c r="N145" s="28" t="s">
        <v>179</v>
      </c>
      <c r="O145" s="28" t="s">
        <v>24</v>
      </c>
      <c r="P145" s="28" t="s">
        <v>24</v>
      </c>
      <c r="Q145" s="28" t="s">
        <v>180</v>
      </c>
      <c r="R145" s="28" t="s">
        <v>181</v>
      </c>
      <c r="S145" s="28" t="s">
        <v>182</v>
      </c>
      <c r="T145" s="28" t="s">
        <v>183</v>
      </c>
      <c r="U145" s="28" t="s">
        <v>179</v>
      </c>
      <c r="V145" s="28" t="s">
        <v>24</v>
      </c>
      <c r="W145" s="28" t="s">
        <v>24</v>
      </c>
      <c r="X145" s="28" t="s">
        <v>180</v>
      </c>
      <c r="Y145" s="28" t="s">
        <v>181</v>
      </c>
      <c r="Z145" s="28" t="s">
        <v>182</v>
      </c>
      <c r="AA145" s="28" t="s">
        <v>183</v>
      </c>
      <c r="AB145" s="28" t="s">
        <v>179</v>
      </c>
      <c r="AC145" s="28" t="s">
        <v>24</v>
      </c>
      <c r="AD145" s="28" t="s">
        <v>24</v>
      </c>
      <c r="AE145" s="28" t="s">
        <v>180</v>
      </c>
      <c r="AF145" s="28" t="s">
        <v>181</v>
      </c>
      <c r="AG145" s="28" t="s">
        <v>182</v>
      </c>
      <c r="AH145" s="28" t="s">
        <v>183</v>
      </c>
      <c r="AI145" s="28" t="s">
        <v>179</v>
      </c>
      <c r="AJ145" s="28" t="s">
        <v>24</v>
      </c>
      <c r="AK145" s="28" t="s">
        <v>24</v>
      </c>
      <c r="AL145" s="28"/>
      <c r="AM145" s="141"/>
      <c r="AN145" s="147"/>
      <c r="AO145" s="149"/>
      <c r="AP145" s="151"/>
      <c r="AQ145" s="153"/>
    </row>
    <row r="146" spans="1:43" ht="13.8" thickBot="1" x14ac:dyDescent="0.3">
      <c r="A146" s="68">
        <v>1</v>
      </c>
      <c r="B146" s="67" t="s">
        <v>965</v>
      </c>
      <c r="C146" s="66" t="s">
        <v>960</v>
      </c>
      <c r="D146" s="66" t="s">
        <v>213</v>
      </c>
      <c r="E146" s="69" t="s">
        <v>197</v>
      </c>
      <c r="F146" s="54"/>
      <c r="G146" s="54"/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/>
      <c r="AM146" s="55">
        <f>SUM(H146:AL146)</f>
        <v>0</v>
      </c>
      <c r="AN146" s="55">
        <f>F146+G146-AM146</f>
        <v>0</v>
      </c>
      <c r="AO146" s="72"/>
      <c r="AP146" s="74" t="str">
        <f>IF(AO146="","",IF($A$2&lt;=AO146,IF((AO146-$A$2)&lt;=90,"ALERTA","A TIEMPO"),"CADUCADO"))</f>
        <v/>
      </c>
      <c r="AQ146" s="74" t="str">
        <f>IF(AO146="","",AO146-$A$2)</f>
        <v/>
      </c>
    </row>
    <row r="147" spans="1:43" ht="13.8" thickBot="1" x14ac:dyDescent="0.3">
      <c r="A147" s="68">
        <v>2</v>
      </c>
      <c r="B147" s="67" t="s">
        <v>965</v>
      </c>
      <c r="C147" s="66" t="s">
        <v>960</v>
      </c>
      <c r="D147" s="66" t="s">
        <v>224</v>
      </c>
      <c r="E147" s="71">
        <v>0.01</v>
      </c>
      <c r="F147" s="54"/>
      <c r="G147" s="54"/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0</v>
      </c>
      <c r="AL147" s="30"/>
      <c r="AM147" s="55">
        <f t="shared" ref="AM147:AM185" si="26">SUM(H147:AL147)</f>
        <v>0</v>
      </c>
      <c r="AN147" s="55">
        <f t="shared" ref="AN147:AN185" si="27">F147+G147-AM147</f>
        <v>0</v>
      </c>
      <c r="AO147" s="72"/>
      <c r="AP147" s="74" t="str">
        <f t="shared" ref="AP147:AP185" si="28">IF(AO147="","",IF($A$2&lt;=AO147,IF((AO147-$A$2)&lt;=90,"ALERTA","A TIEMPO"),"CADUCADO"))</f>
        <v/>
      </c>
      <c r="AQ147" s="74" t="str">
        <f t="shared" ref="AQ147:AQ185" si="29">IF(AO147="","",AO147-$A$2)</f>
        <v/>
      </c>
    </row>
    <row r="148" spans="1:43" ht="13.8" thickBot="1" x14ac:dyDescent="0.3">
      <c r="A148" s="68">
        <v>3</v>
      </c>
      <c r="B148" s="67" t="s">
        <v>211</v>
      </c>
      <c r="C148" s="66" t="s">
        <v>960</v>
      </c>
      <c r="D148" s="66" t="s">
        <v>198</v>
      </c>
      <c r="E148" s="69" t="s">
        <v>964</v>
      </c>
      <c r="F148" s="54"/>
      <c r="G148" s="54"/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/>
      <c r="AM148" s="55">
        <f t="shared" si="26"/>
        <v>0</v>
      </c>
      <c r="AN148" s="55">
        <f t="shared" si="27"/>
        <v>0</v>
      </c>
      <c r="AO148" s="72"/>
      <c r="AP148" s="74" t="str">
        <f t="shared" si="28"/>
        <v/>
      </c>
      <c r="AQ148" s="74" t="str">
        <f t="shared" si="29"/>
        <v/>
      </c>
    </row>
    <row r="149" spans="1:43" ht="13.8" thickBot="1" x14ac:dyDescent="0.3">
      <c r="A149" s="68">
        <v>4</v>
      </c>
      <c r="B149" s="67" t="s">
        <v>985</v>
      </c>
      <c r="C149" s="66" t="s">
        <v>960</v>
      </c>
      <c r="D149" s="66" t="s">
        <v>198</v>
      </c>
      <c r="E149" s="70" t="s">
        <v>986</v>
      </c>
      <c r="F149" s="54"/>
      <c r="G149" s="54"/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30">
        <v>0</v>
      </c>
      <c r="R149" s="30">
        <v>0</v>
      </c>
      <c r="S149" s="30">
        <v>0</v>
      </c>
      <c r="T149" s="30">
        <v>0</v>
      </c>
      <c r="U149" s="30">
        <v>0</v>
      </c>
      <c r="V149" s="30">
        <v>0</v>
      </c>
      <c r="W149" s="30">
        <v>0</v>
      </c>
      <c r="X149" s="30">
        <v>0</v>
      </c>
      <c r="Y149" s="30">
        <v>0</v>
      </c>
      <c r="Z149" s="30">
        <v>0</v>
      </c>
      <c r="AA149" s="30">
        <v>0</v>
      </c>
      <c r="AB149" s="30">
        <v>0</v>
      </c>
      <c r="AC149" s="30">
        <v>0</v>
      </c>
      <c r="AD149" s="30">
        <v>0</v>
      </c>
      <c r="AE149" s="30">
        <v>0</v>
      </c>
      <c r="AF149" s="30">
        <v>0</v>
      </c>
      <c r="AG149" s="30">
        <v>0</v>
      </c>
      <c r="AH149" s="30">
        <v>0</v>
      </c>
      <c r="AI149" s="30">
        <v>0</v>
      </c>
      <c r="AJ149" s="30">
        <v>0</v>
      </c>
      <c r="AK149" s="30">
        <v>0</v>
      </c>
      <c r="AL149" s="30"/>
      <c r="AM149" s="55">
        <f t="shared" si="26"/>
        <v>0</v>
      </c>
      <c r="AN149" s="55">
        <f t="shared" si="27"/>
        <v>0</v>
      </c>
      <c r="AO149" s="72"/>
      <c r="AP149" s="74" t="str">
        <f t="shared" si="28"/>
        <v/>
      </c>
      <c r="AQ149" s="74" t="str">
        <f t="shared" si="29"/>
        <v/>
      </c>
    </row>
    <row r="150" spans="1:43" ht="13.8" thickBot="1" x14ac:dyDescent="0.3">
      <c r="A150" s="68">
        <v>4</v>
      </c>
      <c r="B150" s="67" t="s">
        <v>963</v>
      </c>
      <c r="C150" s="66" t="s">
        <v>960</v>
      </c>
      <c r="D150" s="66" t="s">
        <v>213</v>
      </c>
      <c r="E150" s="70" t="s">
        <v>13</v>
      </c>
      <c r="F150" s="54"/>
      <c r="G150" s="54"/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  <c r="AD150" s="30">
        <v>0</v>
      </c>
      <c r="AE150" s="30">
        <v>0</v>
      </c>
      <c r="AF150" s="30">
        <v>0</v>
      </c>
      <c r="AG150" s="30">
        <v>0</v>
      </c>
      <c r="AH150" s="30">
        <v>0</v>
      </c>
      <c r="AI150" s="30">
        <v>0</v>
      </c>
      <c r="AJ150" s="30">
        <v>0</v>
      </c>
      <c r="AK150" s="30">
        <v>0</v>
      </c>
      <c r="AL150" s="30"/>
      <c r="AM150" s="55">
        <f t="shared" si="26"/>
        <v>0</v>
      </c>
      <c r="AN150" s="55">
        <f t="shared" si="27"/>
        <v>0</v>
      </c>
      <c r="AO150" s="72"/>
      <c r="AP150" s="74" t="str">
        <f t="shared" si="28"/>
        <v/>
      </c>
      <c r="AQ150" s="74" t="str">
        <f t="shared" si="29"/>
        <v/>
      </c>
    </row>
    <row r="151" spans="1:43" ht="13.8" thickBot="1" x14ac:dyDescent="0.3">
      <c r="A151" s="68">
        <v>5</v>
      </c>
      <c r="B151" s="67" t="s">
        <v>228</v>
      </c>
      <c r="C151" s="66" t="s">
        <v>960</v>
      </c>
      <c r="D151" s="66" t="s">
        <v>213</v>
      </c>
      <c r="E151" s="69" t="s">
        <v>229</v>
      </c>
      <c r="F151" s="54"/>
      <c r="G151" s="54"/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0">
        <v>0</v>
      </c>
      <c r="W151" s="30">
        <v>0</v>
      </c>
      <c r="X151" s="30">
        <v>0</v>
      </c>
      <c r="Y151" s="30">
        <v>0</v>
      </c>
      <c r="Z151" s="30">
        <v>0</v>
      </c>
      <c r="AA151" s="30">
        <v>0</v>
      </c>
      <c r="AB151" s="30">
        <v>0</v>
      </c>
      <c r="AC151" s="30">
        <v>0</v>
      </c>
      <c r="AD151" s="30">
        <v>0</v>
      </c>
      <c r="AE151" s="30">
        <v>0</v>
      </c>
      <c r="AF151" s="30">
        <v>0</v>
      </c>
      <c r="AG151" s="30">
        <v>0</v>
      </c>
      <c r="AH151" s="30">
        <v>0</v>
      </c>
      <c r="AI151" s="30">
        <v>0</v>
      </c>
      <c r="AJ151" s="30">
        <v>0</v>
      </c>
      <c r="AK151" s="30">
        <v>0</v>
      </c>
      <c r="AL151" s="30"/>
      <c r="AM151" s="55">
        <f t="shared" si="26"/>
        <v>0</v>
      </c>
      <c r="AN151" s="55">
        <f t="shared" si="27"/>
        <v>0</v>
      </c>
      <c r="AO151" s="72"/>
      <c r="AP151" s="74" t="str">
        <f t="shared" si="28"/>
        <v/>
      </c>
      <c r="AQ151" s="74" t="str">
        <f t="shared" si="29"/>
        <v/>
      </c>
    </row>
    <row r="152" spans="1:43" ht="13.8" thickBot="1" x14ac:dyDescent="0.3">
      <c r="A152" s="68">
        <v>6</v>
      </c>
      <c r="B152" s="67" t="s">
        <v>968</v>
      </c>
      <c r="C152" s="66" t="s">
        <v>960</v>
      </c>
      <c r="D152" s="66" t="s">
        <v>198</v>
      </c>
      <c r="E152" s="69" t="s">
        <v>199</v>
      </c>
      <c r="F152" s="54"/>
      <c r="G152" s="54"/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30">
        <v>0</v>
      </c>
      <c r="AA152" s="30">
        <v>0</v>
      </c>
      <c r="AB152" s="30">
        <v>0</v>
      </c>
      <c r="AC152" s="30">
        <v>0</v>
      </c>
      <c r="AD152" s="30">
        <v>0</v>
      </c>
      <c r="AE152" s="30">
        <v>0</v>
      </c>
      <c r="AF152" s="30">
        <v>0</v>
      </c>
      <c r="AG152" s="30">
        <v>0</v>
      </c>
      <c r="AH152" s="30">
        <v>0</v>
      </c>
      <c r="AI152" s="30">
        <v>0</v>
      </c>
      <c r="AJ152" s="30">
        <v>0</v>
      </c>
      <c r="AK152" s="30">
        <v>0</v>
      </c>
      <c r="AL152" s="30"/>
      <c r="AM152" s="55">
        <f t="shared" si="26"/>
        <v>0</v>
      </c>
      <c r="AN152" s="55">
        <f t="shared" si="27"/>
        <v>0</v>
      </c>
      <c r="AO152" s="72"/>
      <c r="AP152" s="74" t="str">
        <f t="shared" si="28"/>
        <v/>
      </c>
      <c r="AQ152" s="74" t="str">
        <f t="shared" si="29"/>
        <v/>
      </c>
    </row>
    <row r="153" spans="1:43" ht="13.8" thickBot="1" x14ac:dyDescent="0.3">
      <c r="A153" s="68">
        <v>7</v>
      </c>
      <c r="B153" s="67" t="s">
        <v>220</v>
      </c>
      <c r="C153" s="66" t="s">
        <v>960</v>
      </c>
      <c r="D153" s="66" t="s">
        <v>198</v>
      </c>
      <c r="E153" s="69" t="s">
        <v>195</v>
      </c>
      <c r="F153" s="54"/>
      <c r="G153" s="54"/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0">
        <v>0</v>
      </c>
      <c r="AC153" s="30">
        <v>0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0">
        <v>0</v>
      </c>
      <c r="AL153" s="30"/>
      <c r="AM153" s="55">
        <f t="shared" si="26"/>
        <v>0</v>
      </c>
      <c r="AN153" s="55">
        <f t="shared" si="27"/>
        <v>0</v>
      </c>
      <c r="AO153" s="72"/>
      <c r="AP153" s="74" t="str">
        <f t="shared" si="28"/>
        <v/>
      </c>
      <c r="AQ153" s="74" t="str">
        <f t="shared" si="29"/>
        <v/>
      </c>
    </row>
    <row r="154" spans="1:43" ht="13.8" thickBot="1" x14ac:dyDescent="0.3">
      <c r="A154" s="68">
        <v>8</v>
      </c>
      <c r="B154" s="67" t="s">
        <v>962</v>
      </c>
      <c r="C154" s="66" t="s">
        <v>960</v>
      </c>
      <c r="D154" s="66" t="s">
        <v>198</v>
      </c>
      <c r="E154" s="69" t="s">
        <v>961</v>
      </c>
      <c r="F154" s="54"/>
      <c r="G154" s="54"/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0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30">
        <v>0</v>
      </c>
      <c r="AA154" s="30">
        <v>0</v>
      </c>
      <c r="AB154" s="30">
        <v>0</v>
      </c>
      <c r="AC154" s="30">
        <v>0</v>
      </c>
      <c r="AD154" s="30">
        <v>0</v>
      </c>
      <c r="AE154" s="30">
        <v>0</v>
      </c>
      <c r="AF154" s="30">
        <v>0</v>
      </c>
      <c r="AG154" s="30">
        <v>0</v>
      </c>
      <c r="AH154" s="30">
        <v>0</v>
      </c>
      <c r="AI154" s="30">
        <v>0</v>
      </c>
      <c r="AJ154" s="30">
        <v>0</v>
      </c>
      <c r="AK154" s="30">
        <v>0</v>
      </c>
      <c r="AL154" s="30"/>
      <c r="AM154" s="55">
        <f t="shared" si="26"/>
        <v>0</v>
      </c>
      <c r="AN154" s="55">
        <f t="shared" si="27"/>
        <v>0</v>
      </c>
      <c r="AO154" s="72"/>
      <c r="AP154" s="74" t="str">
        <f t="shared" si="28"/>
        <v/>
      </c>
      <c r="AQ154" s="74" t="str">
        <f t="shared" si="29"/>
        <v/>
      </c>
    </row>
    <row r="155" spans="1:43" ht="13.8" thickBot="1" x14ac:dyDescent="0.3">
      <c r="A155" s="68">
        <v>9</v>
      </c>
      <c r="B155" s="67" t="s">
        <v>966</v>
      </c>
      <c r="C155" s="66" t="s">
        <v>960</v>
      </c>
      <c r="D155" s="66" t="s">
        <v>201</v>
      </c>
      <c r="E155" s="69" t="s">
        <v>967</v>
      </c>
      <c r="F155" s="54"/>
      <c r="G155" s="54"/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30">
        <v>0</v>
      </c>
      <c r="AA155" s="30">
        <v>0</v>
      </c>
      <c r="AB155" s="30">
        <v>0</v>
      </c>
      <c r="AC155" s="30">
        <v>0</v>
      </c>
      <c r="AD155" s="30">
        <v>0</v>
      </c>
      <c r="AE155" s="30">
        <v>0</v>
      </c>
      <c r="AF155" s="30">
        <v>0</v>
      </c>
      <c r="AG155" s="30">
        <v>0</v>
      </c>
      <c r="AH155" s="30">
        <v>0</v>
      </c>
      <c r="AI155" s="30">
        <v>0</v>
      </c>
      <c r="AJ155" s="30">
        <v>0</v>
      </c>
      <c r="AK155" s="30">
        <v>0</v>
      </c>
      <c r="AL155" s="30"/>
      <c r="AM155" s="55">
        <f t="shared" si="26"/>
        <v>0</v>
      </c>
      <c r="AN155" s="55">
        <f t="shared" si="27"/>
        <v>0</v>
      </c>
      <c r="AO155" s="72"/>
      <c r="AP155" s="74" t="str">
        <f t="shared" si="28"/>
        <v/>
      </c>
      <c r="AQ155" s="74" t="str">
        <f t="shared" si="29"/>
        <v/>
      </c>
    </row>
    <row r="156" spans="1:43" ht="13.8" thickBot="1" x14ac:dyDescent="0.3">
      <c r="A156" s="68">
        <v>10</v>
      </c>
      <c r="B156" s="67" t="s">
        <v>194</v>
      </c>
      <c r="C156" s="66" t="s">
        <v>969</v>
      </c>
      <c r="D156" s="66" t="s">
        <v>198</v>
      </c>
      <c r="E156" s="69" t="s">
        <v>195</v>
      </c>
      <c r="F156" s="54"/>
      <c r="G156" s="54"/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30">
        <v>0</v>
      </c>
      <c r="AA156" s="30">
        <v>0</v>
      </c>
      <c r="AB156" s="30">
        <v>0</v>
      </c>
      <c r="AC156" s="30">
        <v>0</v>
      </c>
      <c r="AD156" s="30">
        <v>0</v>
      </c>
      <c r="AE156" s="30">
        <v>0</v>
      </c>
      <c r="AF156" s="30">
        <v>0</v>
      </c>
      <c r="AG156" s="30">
        <v>0</v>
      </c>
      <c r="AH156" s="30">
        <v>0</v>
      </c>
      <c r="AI156" s="30">
        <v>0</v>
      </c>
      <c r="AJ156" s="30">
        <v>0</v>
      </c>
      <c r="AK156" s="30">
        <v>0</v>
      </c>
      <c r="AL156" s="30"/>
      <c r="AM156" s="55">
        <f t="shared" si="26"/>
        <v>0</v>
      </c>
      <c r="AN156" s="55">
        <f t="shared" si="27"/>
        <v>0</v>
      </c>
      <c r="AO156" s="72"/>
      <c r="AP156" s="74" t="str">
        <f t="shared" si="28"/>
        <v/>
      </c>
      <c r="AQ156" s="74" t="str">
        <f t="shared" si="29"/>
        <v/>
      </c>
    </row>
    <row r="157" spans="1:43" ht="13.8" thickBot="1" x14ac:dyDescent="0.3">
      <c r="A157" s="68">
        <v>11</v>
      </c>
      <c r="B157" s="67" t="s">
        <v>200</v>
      </c>
      <c r="C157" s="66" t="s">
        <v>969</v>
      </c>
      <c r="D157" s="66" t="s">
        <v>198</v>
      </c>
      <c r="E157" s="69" t="s">
        <v>970</v>
      </c>
      <c r="F157" s="54"/>
      <c r="G157" s="54"/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30">
        <v>0</v>
      </c>
      <c r="AA157" s="30">
        <v>0</v>
      </c>
      <c r="AB157" s="30">
        <v>0</v>
      </c>
      <c r="AC157" s="30">
        <v>0</v>
      </c>
      <c r="AD157" s="30">
        <v>0</v>
      </c>
      <c r="AE157" s="30">
        <v>0</v>
      </c>
      <c r="AF157" s="30">
        <v>0</v>
      </c>
      <c r="AG157" s="30">
        <v>0</v>
      </c>
      <c r="AH157" s="30">
        <v>0</v>
      </c>
      <c r="AI157" s="30">
        <v>0</v>
      </c>
      <c r="AJ157" s="30">
        <v>0</v>
      </c>
      <c r="AK157" s="30">
        <v>0</v>
      </c>
      <c r="AL157" s="30"/>
      <c r="AM157" s="55">
        <f t="shared" si="26"/>
        <v>0</v>
      </c>
      <c r="AN157" s="55">
        <f t="shared" si="27"/>
        <v>0</v>
      </c>
      <c r="AO157" s="72"/>
      <c r="AP157" s="74" t="str">
        <f t="shared" si="28"/>
        <v/>
      </c>
      <c r="AQ157" s="74" t="str">
        <f t="shared" si="29"/>
        <v/>
      </c>
    </row>
    <row r="158" spans="1:43" ht="13.8" thickBot="1" x14ac:dyDescent="0.3">
      <c r="A158" s="68">
        <v>12</v>
      </c>
      <c r="B158" s="67" t="s">
        <v>972</v>
      </c>
      <c r="C158" s="69" t="s">
        <v>971</v>
      </c>
      <c r="D158" s="66" t="s">
        <v>213</v>
      </c>
      <c r="E158" s="69" t="s">
        <v>203</v>
      </c>
      <c r="F158" s="54"/>
      <c r="G158" s="54"/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0">
        <v>0</v>
      </c>
      <c r="AC158" s="30">
        <v>0</v>
      </c>
      <c r="AD158" s="30">
        <v>0</v>
      </c>
      <c r="AE158" s="30">
        <v>0</v>
      </c>
      <c r="AF158" s="30">
        <v>0</v>
      </c>
      <c r="AG158" s="30">
        <v>0</v>
      </c>
      <c r="AH158" s="30">
        <v>0</v>
      </c>
      <c r="AI158" s="30">
        <v>0</v>
      </c>
      <c r="AJ158" s="30">
        <v>0</v>
      </c>
      <c r="AK158" s="30">
        <v>0</v>
      </c>
      <c r="AL158" s="30"/>
      <c r="AM158" s="55">
        <f t="shared" si="26"/>
        <v>0</v>
      </c>
      <c r="AN158" s="55">
        <f t="shared" si="27"/>
        <v>0</v>
      </c>
      <c r="AO158" s="72"/>
      <c r="AP158" s="74" t="str">
        <f t="shared" si="28"/>
        <v/>
      </c>
      <c r="AQ158" s="74" t="str">
        <f t="shared" si="29"/>
        <v/>
      </c>
    </row>
    <row r="159" spans="1:43" ht="13.8" thickBot="1" x14ac:dyDescent="0.3">
      <c r="A159" s="68">
        <v>13</v>
      </c>
      <c r="B159" s="67" t="s">
        <v>212</v>
      </c>
      <c r="C159" s="69" t="s">
        <v>971</v>
      </c>
      <c r="D159" s="66" t="s">
        <v>213</v>
      </c>
      <c r="E159" s="69" t="s">
        <v>203</v>
      </c>
      <c r="F159" s="54"/>
      <c r="G159" s="54"/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30">
        <v>0</v>
      </c>
      <c r="AA159" s="30">
        <v>0</v>
      </c>
      <c r="AB159" s="30">
        <v>0</v>
      </c>
      <c r="AC159" s="30">
        <v>0</v>
      </c>
      <c r="AD159" s="30">
        <v>0</v>
      </c>
      <c r="AE159" s="30">
        <v>0</v>
      </c>
      <c r="AF159" s="30">
        <v>0</v>
      </c>
      <c r="AG159" s="30">
        <v>0</v>
      </c>
      <c r="AH159" s="30">
        <v>0</v>
      </c>
      <c r="AI159" s="30">
        <v>0</v>
      </c>
      <c r="AJ159" s="30">
        <v>0</v>
      </c>
      <c r="AK159" s="30">
        <v>0</v>
      </c>
      <c r="AL159" s="30"/>
      <c r="AM159" s="55">
        <f t="shared" si="26"/>
        <v>0</v>
      </c>
      <c r="AN159" s="55">
        <f t="shared" si="27"/>
        <v>0</v>
      </c>
      <c r="AO159" s="72"/>
      <c r="AP159" s="74" t="str">
        <f t="shared" si="28"/>
        <v/>
      </c>
      <c r="AQ159" s="74" t="str">
        <f t="shared" si="29"/>
        <v/>
      </c>
    </row>
    <row r="160" spans="1:43" ht="13.8" thickBot="1" x14ac:dyDescent="0.3">
      <c r="A160" s="68">
        <v>14</v>
      </c>
      <c r="B160" s="67" t="s">
        <v>204</v>
      </c>
      <c r="C160" s="69" t="s">
        <v>46</v>
      </c>
      <c r="D160" s="66" t="s">
        <v>198</v>
      </c>
      <c r="E160" s="70" t="s">
        <v>13</v>
      </c>
      <c r="F160" s="54"/>
      <c r="G160" s="54"/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30">
        <v>0</v>
      </c>
      <c r="AA160" s="30">
        <v>0</v>
      </c>
      <c r="AB160" s="30">
        <v>0</v>
      </c>
      <c r="AC160" s="30">
        <v>0</v>
      </c>
      <c r="AD160" s="30">
        <v>0</v>
      </c>
      <c r="AE160" s="30">
        <v>0</v>
      </c>
      <c r="AF160" s="30">
        <v>0</v>
      </c>
      <c r="AG160" s="30">
        <v>0</v>
      </c>
      <c r="AH160" s="30">
        <v>0</v>
      </c>
      <c r="AI160" s="30">
        <v>0</v>
      </c>
      <c r="AJ160" s="30">
        <v>0</v>
      </c>
      <c r="AK160" s="30">
        <v>0</v>
      </c>
      <c r="AL160" s="30"/>
      <c r="AM160" s="55">
        <f t="shared" si="26"/>
        <v>0</v>
      </c>
      <c r="AN160" s="55">
        <f t="shared" si="27"/>
        <v>0</v>
      </c>
      <c r="AO160" s="72"/>
      <c r="AP160" s="74" t="str">
        <f t="shared" si="28"/>
        <v/>
      </c>
      <c r="AQ160" s="74" t="str">
        <f t="shared" si="29"/>
        <v/>
      </c>
    </row>
    <row r="161" spans="1:43" ht="13.8" thickBot="1" x14ac:dyDescent="0.3">
      <c r="A161" s="68">
        <v>15</v>
      </c>
      <c r="B161" s="67" t="s">
        <v>973</v>
      </c>
      <c r="C161" s="69" t="s">
        <v>46</v>
      </c>
      <c r="D161" s="66" t="s">
        <v>201</v>
      </c>
      <c r="E161" s="69" t="s">
        <v>203</v>
      </c>
      <c r="F161" s="54"/>
      <c r="G161" s="54"/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30">
        <v>0</v>
      </c>
      <c r="AA161" s="30">
        <v>0</v>
      </c>
      <c r="AB161" s="30">
        <v>0</v>
      </c>
      <c r="AC161" s="30">
        <v>0</v>
      </c>
      <c r="AD161" s="30">
        <v>0</v>
      </c>
      <c r="AE161" s="30">
        <v>0</v>
      </c>
      <c r="AF161" s="30">
        <v>0</v>
      </c>
      <c r="AG161" s="30">
        <v>0</v>
      </c>
      <c r="AH161" s="30">
        <v>0</v>
      </c>
      <c r="AI161" s="30">
        <v>0</v>
      </c>
      <c r="AJ161" s="30">
        <v>0</v>
      </c>
      <c r="AK161" s="30">
        <v>0</v>
      </c>
      <c r="AL161" s="30"/>
      <c r="AM161" s="55">
        <f t="shared" si="26"/>
        <v>0</v>
      </c>
      <c r="AN161" s="55">
        <f t="shared" si="27"/>
        <v>0</v>
      </c>
      <c r="AO161" s="72"/>
      <c r="AP161" s="74" t="str">
        <f t="shared" si="28"/>
        <v/>
      </c>
      <c r="AQ161" s="74" t="str">
        <f t="shared" si="29"/>
        <v/>
      </c>
    </row>
    <row r="162" spans="1:43" ht="13.8" thickBot="1" x14ac:dyDescent="0.3">
      <c r="A162" s="68">
        <v>16</v>
      </c>
      <c r="B162" s="67" t="s">
        <v>218</v>
      </c>
      <c r="C162" s="69" t="s">
        <v>46</v>
      </c>
      <c r="D162" s="66" t="s">
        <v>198</v>
      </c>
      <c r="E162" s="69" t="s">
        <v>975</v>
      </c>
      <c r="F162" s="54"/>
      <c r="G162" s="54"/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30">
        <v>0</v>
      </c>
      <c r="AA162" s="30">
        <v>0</v>
      </c>
      <c r="AB162" s="30">
        <v>0</v>
      </c>
      <c r="AC162" s="30">
        <v>0</v>
      </c>
      <c r="AD162" s="30">
        <v>0</v>
      </c>
      <c r="AE162" s="30">
        <v>0</v>
      </c>
      <c r="AF162" s="30">
        <v>0</v>
      </c>
      <c r="AG162" s="30">
        <v>0</v>
      </c>
      <c r="AH162" s="30">
        <v>0</v>
      </c>
      <c r="AI162" s="30">
        <v>0</v>
      </c>
      <c r="AJ162" s="30">
        <v>0</v>
      </c>
      <c r="AK162" s="30">
        <v>0</v>
      </c>
      <c r="AL162" s="30"/>
      <c r="AM162" s="55">
        <f t="shared" si="26"/>
        <v>0</v>
      </c>
      <c r="AN162" s="55">
        <f t="shared" si="27"/>
        <v>0</v>
      </c>
      <c r="AO162" s="72"/>
      <c r="AP162" s="74" t="str">
        <f t="shared" si="28"/>
        <v/>
      </c>
      <c r="AQ162" s="74" t="str">
        <f t="shared" si="29"/>
        <v/>
      </c>
    </row>
    <row r="163" spans="1:43" ht="13.8" thickBot="1" x14ac:dyDescent="0.3">
      <c r="A163" s="68">
        <v>17</v>
      </c>
      <c r="B163" s="67" t="s">
        <v>974</v>
      </c>
      <c r="C163" s="69" t="s">
        <v>46</v>
      </c>
      <c r="D163" s="66" t="s">
        <v>210</v>
      </c>
      <c r="E163" s="70" t="s">
        <v>13</v>
      </c>
      <c r="F163" s="54"/>
      <c r="G163" s="54"/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  <c r="AD163" s="30">
        <v>0</v>
      </c>
      <c r="AE163" s="30">
        <v>0</v>
      </c>
      <c r="AF163" s="30">
        <v>0</v>
      </c>
      <c r="AG163" s="30">
        <v>0</v>
      </c>
      <c r="AH163" s="30">
        <v>0</v>
      </c>
      <c r="AI163" s="30">
        <v>0</v>
      </c>
      <c r="AJ163" s="30">
        <v>0</v>
      </c>
      <c r="AK163" s="30">
        <v>0</v>
      </c>
      <c r="AL163" s="30"/>
      <c r="AM163" s="55">
        <f t="shared" si="26"/>
        <v>0</v>
      </c>
      <c r="AN163" s="55">
        <f t="shared" si="27"/>
        <v>0</v>
      </c>
      <c r="AO163" s="72"/>
      <c r="AP163" s="74" t="str">
        <f t="shared" si="28"/>
        <v/>
      </c>
      <c r="AQ163" s="74" t="str">
        <f t="shared" si="29"/>
        <v/>
      </c>
    </row>
    <row r="164" spans="1:43" ht="13.8" thickBot="1" x14ac:dyDescent="0.3">
      <c r="A164" s="68">
        <v>18</v>
      </c>
      <c r="B164" s="67" t="s">
        <v>221</v>
      </c>
      <c r="C164" s="69" t="s">
        <v>46</v>
      </c>
      <c r="D164" s="66" t="s">
        <v>976</v>
      </c>
      <c r="E164" s="70" t="s">
        <v>13</v>
      </c>
      <c r="F164" s="54"/>
      <c r="G164" s="54"/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30">
        <v>0</v>
      </c>
      <c r="AA164" s="30">
        <v>0</v>
      </c>
      <c r="AB164" s="30">
        <v>0</v>
      </c>
      <c r="AC164" s="30">
        <v>0</v>
      </c>
      <c r="AD164" s="30">
        <v>0</v>
      </c>
      <c r="AE164" s="30">
        <v>0</v>
      </c>
      <c r="AF164" s="30">
        <v>0</v>
      </c>
      <c r="AG164" s="30">
        <v>0</v>
      </c>
      <c r="AH164" s="30">
        <v>0</v>
      </c>
      <c r="AI164" s="30">
        <v>0</v>
      </c>
      <c r="AJ164" s="30">
        <v>0</v>
      </c>
      <c r="AK164" s="30">
        <v>0</v>
      </c>
      <c r="AL164" s="30"/>
      <c r="AM164" s="55">
        <f t="shared" si="26"/>
        <v>0</v>
      </c>
      <c r="AN164" s="55">
        <f t="shared" si="27"/>
        <v>0</v>
      </c>
      <c r="AO164" s="72"/>
      <c r="AP164" s="74" t="str">
        <f t="shared" si="28"/>
        <v/>
      </c>
      <c r="AQ164" s="74" t="str">
        <f t="shared" si="29"/>
        <v/>
      </c>
    </row>
    <row r="165" spans="1:43" ht="13.8" thickBot="1" x14ac:dyDescent="0.3">
      <c r="A165" s="68">
        <v>19</v>
      </c>
      <c r="B165" s="67" t="s">
        <v>223</v>
      </c>
      <c r="C165" s="69" t="s">
        <v>977</v>
      </c>
      <c r="D165" s="66" t="s">
        <v>224</v>
      </c>
      <c r="E165" s="69" t="s">
        <v>978</v>
      </c>
      <c r="F165" s="54"/>
      <c r="G165" s="54"/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30">
        <v>0</v>
      </c>
      <c r="AA165" s="30">
        <v>0</v>
      </c>
      <c r="AB165" s="30">
        <v>0</v>
      </c>
      <c r="AC165" s="30">
        <v>0</v>
      </c>
      <c r="AD165" s="30">
        <v>0</v>
      </c>
      <c r="AE165" s="30">
        <v>0</v>
      </c>
      <c r="AF165" s="30">
        <v>0</v>
      </c>
      <c r="AG165" s="30">
        <v>0</v>
      </c>
      <c r="AH165" s="30">
        <v>0</v>
      </c>
      <c r="AI165" s="30">
        <v>0</v>
      </c>
      <c r="AJ165" s="30">
        <v>0</v>
      </c>
      <c r="AK165" s="30">
        <v>0</v>
      </c>
      <c r="AL165" s="30"/>
      <c r="AM165" s="55">
        <f t="shared" si="26"/>
        <v>0</v>
      </c>
      <c r="AN165" s="55">
        <f t="shared" si="27"/>
        <v>0</v>
      </c>
      <c r="AO165" s="72"/>
      <c r="AP165" s="74" t="str">
        <f t="shared" si="28"/>
        <v/>
      </c>
      <c r="AQ165" s="74" t="str">
        <f t="shared" si="29"/>
        <v/>
      </c>
    </row>
    <row r="166" spans="1:43" ht="13.8" thickBot="1" x14ac:dyDescent="0.3">
      <c r="A166" s="68">
        <v>20</v>
      </c>
      <c r="B166" s="67" t="s">
        <v>205</v>
      </c>
      <c r="C166" s="69" t="s">
        <v>979</v>
      </c>
      <c r="D166" s="66" t="s">
        <v>201</v>
      </c>
      <c r="E166" s="70" t="s">
        <v>13</v>
      </c>
      <c r="F166" s="54"/>
      <c r="G166" s="54"/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30">
        <v>0</v>
      </c>
      <c r="W166" s="30">
        <v>0</v>
      </c>
      <c r="X166" s="30">
        <v>0</v>
      </c>
      <c r="Y166" s="30">
        <v>0</v>
      </c>
      <c r="Z166" s="30">
        <v>0</v>
      </c>
      <c r="AA166" s="30">
        <v>0</v>
      </c>
      <c r="AB166" s="30">
        <v>0</v>
      </c>
      <c r="AC166" s="30">
        <v>0</v>
      </c>
      <c r="AD166" s="30">
        <v>0</v>
      </c>
      <c r="AE166" s="30">
        <v>0</v>
      </c>
      <c r="AF166" s="30">
        <v>0</v>
      </c>
      <c r="AG166" s="30">
        <v>0</v>
      </c>
      <c r="AH166" s="30">
        <v>0</v>
      </c>
      <c r="AI166" s="30">
        <v>0</v>
      </c>
      <c r="AJ166" s="30">
        <v>0</v>
      </c>
      <c r="AK166" s="30">
        <v>0</v>
      </c>
      <c r="AL166" s="30"/>
      <c r="AM166" s="55">
        <f t="shared" si="26"/>
        <v>0</v>
      </c>
      <c r="AN166" s="55">
        <f t="shared" si="27"/>
        <v>0</v>
      </c>
      <c r="AO166" s="72"/>
      <c r="AP166" s="74" t="str">
        <f t="shared" si="28"/>
        <v/>
      </c>
      <c r="AQ166" s="74" t="str">
        <f t="shared" si="29"/>
        <v/>
      </c>
    </row>
    <row r="167" spans="1:43" ht="13.8" thickBot="1" x14ac:dyDescent="0.3">
      <c r="A167" s="68">
        <v>21</v>
      </c>
      <c r="B167" s="67" t="s">
        <v>209</v>
      </c>
      <c r="C167" s="69" t="s">
        <v>979</v>
      </c>
      <c r="D167" s="66" t="s">
        <v>210</v>
      </c>
      <c r="E167" s="70" t="s">
        <v>13</v>
      </c>
      <c r="F167" s="54"/>
      <c r="G167" s="54"/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v>0</v>
      </c>
      <c r="AF167" s="30">
        <v>0</v>
      </c>
      <c r="AG167" s="30">
        <v>0</v>
      </c>
      <c r="AH167" s="30">
        <v>0</v>
      </c>
      <c r="AI167" s="30">
        <v>0</v>
      </c>
      <c r="AJ167" s="30">
        <v>0</v>
      </c>
      <c r="AK167" s="30">
        <v>0</v>
      </c>
      <c r="AL167" s="30"/>
      <c r="AM167" s="55">
        <f t="shared" si="26"/>
        <v>0</v>
      </c>
      <c r="AN167" s="55">
        <f t="shared" si="27"/>
        <v>0</v>
      </c>
      <c r="AO167" s="72"/>
      <c r="AP167" s="74" t="str">
        <f t="shared" si="28"/>
        <v/>
      </c>
      <c r="AQ167" s="74" t="str">
        <f t="shared" si="29"/>
        <v/>
      </c>
    </row>
    <row r="168" spans="1:43" ht="13.8" thickBot="1" x14ac:dyDescent="0.3">
      <c r="A168" s="68">
        <v>22</v>
      </c>
      <c r="B168" s="67" t="s">
        <v>207</v>
      </c>
      <c r="C168" s="69" t="s">
        <v>980</v>
      </c>
      <c r="D168" s="66" t="s">
        <v>201</v>
      </c>
      <c r="E168" s="69" t="s">
        <v>208</v>
      </c>
      <c r="F168" s="54"/>
      <c r="G168" s="54"/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0">
        <v>0</v>
      </c>
      <c r="AC168" s="30">
        <v>0</v>
      </c>
      <c r="AD168" s="30">
        <v>0</v>
      </c>
      <c r="AE168" s="30">
        <v>0</v>
      </c>
      <c r="AF168" s="30">
        <v>0</v>
      </c>
      <c r="AG168" s="30">
        <v>0</v>
      </c>
      <c r="AH168" s="30">
        <v>0</v>
      </c>
      <c r="AI168" s="30">
        <v>0</v>
      </c>
      <c r="AJ168" s="30">
        <v>0</v>
      </c>
      <c r="AK168" s="30">
        <v>0</v>
      </c>
      <c r="AL168" s="30"/>
      <c r="AM168" s="55">
        <f t="shared" si="26"/>
        <v>0</v>
      </c>
      <c r="AN168" s="55">
        <f t="shared" si="27"/>
        <v>0</v>
      </c>
      <c r="AO168" s="72"/>
      <c r="AP168" s="74" t="str">
        <f t="shared" si="28"/>
        <v/>
      </c>
      <c r="AQ168" s="74" t="str">
        <f t="shared" si="29"/>
        <v/>
      </c>
    </row>
    <row r="169" spans="1:43" ht="13.8" thickBot="1" x14ac:dyDescent="0.3">
      <c r="A169" s="68">
        <v>23</v>
      </c>
      <c r="B169" s="67" t="s">
        <v>982</v>
      </c>
      <c r="C169" s="69" t="s">
        <v>981</v>
      </c>
      <c r="D169" s="66" t="s">
        <v>201</v>
      </c>
      <c r="E169" s="71">
        <v>0.02</v>
      </c>
      <c r="F169" s="54"/>
      <c r="G169" s="54"/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0">
        <v>0</v>
      </c>
      <c r="V169" s="30">
        <v>0</v>
      </c>
      <c r="W169" s="30">
        <v>0</v>
      </c>
      <c r="X169" s="30">
        <v>0</v>
      </c>
      <c r="Y169" s="30">
        <v>0</v>
      </c>
      <c r="Z169" s="30">
        <v>0</v>
      </c>
      <c r="AA169" s="30">
        <v>0</v>
      </c>
      <c r="AB169" s="30">
        <v>0</v>
      </c>
      <c r="AC169" s="30">
        <v>0</v>
      </c>
      <c r="AD169" s="30">
        <v>0</v>
      </c>
      <c r="AE169" s="30">
        <v>0</v>
      </c>
      <c r="AF169" s="30">
        <v>0</v>
      </c>
      <c r="AG169" s="30">
        <v>0</v>
      </c>
      <c r="AH169" s="30">
        <v>0</v>
      </c>
      <c r="AI169" s="30">
        <v>0</v>
      </c>
      <c r="AJ169" s="30">
        <v>0</v>
      </c>
      <c r="AK169" s="30">
        <v>0</v>
      </c>
      <c r="AL169" s="30"/>
      <c r="AM169" s="55">
        <f t="shared" si="26"/>
        <v>0</v>
      </c>
      <c r="AN169" s="55">
        <f t="shared" si="27"/>
        <v>0</v>
      </c>
      <c r="AO169" s="72"/>
      <c r="AP169" s="74" t="str">
        <f t="shared" si="28"/>
        <v/>
      </c>
      <c r="AQ169" s="74" t="str">
        <f t="shared" si="29"/>
        <v/>
      </c>
    </row>
    <row r="170" spans="1:43" ht="13.8" thickBot="1" x14ac:dyDescent="0.3">
      <c r="A170" s="68">
        <v>24</v>
      </c>
      <c r="B170" s="67" t="s">
        <v>216</v>
      </c>
      <c r="C170" s="69" t="s">
        <v>983</v>
      </c>
      <c r="D170" s="66" t="s">
        <v>213</v>
      </c>
      <c r="E170" s="70" t="s">
        <v>13</v>
      </c>
      <c r="F170" s="54"/>
      <c r="G170" s="54"/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v>0</v>
      </c>
      <c r="AF170" s="30">
        <v>0</v>
      </c>
      <c r="AG170" s="30">
        <v>0</v>
      </c>
      <c r="AH170" s="30">
        <v>0</v>
      </c>
      <c r="AI170" s="30">
        <v>0</v>
      </c>
      <c r="AJ170" s="30">
        <v>0</v>
      </c>
      <c r="AK170" s="30">
        <v>0</v>
      </c>
      <c r="AL170" s="30"/>
      <c r="AM170" s="55">
        <f t="shared" si="26"/>
        <v>0</v>
      </c>
      <c r="AN170" s="55">
        <f t="shared" si="27"/>
        <v>0</v>
      </c>
      <c r="AO170" s="72"/>
      <c r="AP170" s="74" t="str">
        <f t="shared" si="28"/>
        <v/>
      </c>
      <c r="AQ170" s="74" t="str">
        <f t="shared" si="29"/>
        <v/>
      </c>
    </row>
    <row r="171" spans="1:43" ht="13.8" thickBot="1" x14ac:dyDescent="0.3">
      <c r="A171" s="68">
        <v>25</v>
      </c>
      <c r="B171" s="67" t="s">
        <v>217</v>
      </c>
      <c r="C171" s="69" t="s">
        <v>983</v>
      </c>
      <c r="D171" s="66" t="s">
        <v>198</v>
      </c>
      <c r="E171" s="70" t="s">
        <v>13</v>
      </c>
      <c r="F171" s="54"/>
      <c r="G171" s="54"/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30">
        <v>0</v>
      </c>
      <c r="AA171" s="30">
        <v>0</v>
      </c>
      <c r="AB171" s="30">
        <v>0</v>
      </c>
      <c r="AC171" s="30">
        <v>0</v>
      </c>
      <c r="AD171" s="30">
        <v>0</v>
      </c>
      <c r="AE171" s="30">
        <v>0</v>
      </c>
      <c r="AF171" s="30">
        <v>0</v>
      </c>
      <c r="AG171" s="30">
        <v>0</v>
      </c>
      <c r="AH171" s="30">
        <v>0</v>
      </c>
      <c r="AI171" s="30">
        <v>0</v>
      </c>
      <c r="AJ171" s="30">
        <v>0</v>
      </c>
      <c r="AK171" s="30">
        <v>0</v>
      </c>
      <c r="AL171" s="30"/>
      <c r="AM171" s="55">
        <f t="shared" si="26"/>
        <v>0</v>
      </c>
      <c r="AN171" s="55">
        <f t="shared" si="27"/>
        <v>0</v>
      </c>
      <c r="AO171" s="72"/>
      <c r="AP171" s="74" t="str">
        <f t="shared" si="28"/>
        <v/>
      </c>
      <c r="AQ171" s="74" t="str">
        <f t="shared" si="29"/>
        <v/>
      </c>
    </row>
    <row r="172" spans="1:43" ht="13.8" thickBot="1" x14ac:dyDescent="0.3">
      <c r="A172" s="68">
        <v>26</v>
      </c>
      <c r="B172" s="67" t="s">
        <v>225</v>
      </c>
      <c r="C172" s="69" t="s">
        <v>983</v>
      </c>
      <c r="D172" s="66" t="s">
        <v>198</v>
      </c>
      <c r="E172" s="70" t="s">
        <v>13</v>
      </c>
      <c r="F172" s="54"/>
      <c r="G172" s="54"/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30">
        <v>0</v>
      </c>
      <c r="AC172" s="30">
        <v>0</v>
      </c>
      <c r="AD172" s="30">
        <v>0</v>
      </c>
      <c r="AE172" s="30">
        <v>0</v>
      </c>
      <c r="AF172" s="30">
        <v>0</v>
      </c>
      <c r="AG172" s="30">
        <v>0</v>
      </c>
      <c r="AH172" s="30">
        <v>0</v>
      </c>
      <c r="AI172" s="30">
        <v>0</v>
      </c>
      <c r="AJ172" s="30">
        <v>0</v>
      </c>
      <c r="AK172" s="30">
        <v>0</v>
      </c>
      <c r="AL172" s="30"/>
      <c r="AM172" s="55">
        <f t="shared" si="26"/>
        <v>0</v>
      </c>
      <c r="AN172" s="55">
        <f t="shared" si="27"/>
        <v>0</v>
      </c>
      <c r="AO172" s="72"/>
      <c r="AP172" s="74" t="str">
        <f t="shared" si="28"/>
        <v/>
      </c>
      <c r="AQ172" s="74" t="str">
        <f t="shared" si="29"/>
        <v/>
      </c>
    </row>
    <row r="173" spans="1:43" ht="13.8" thickBot="1" x14ac:dyDescent="0.3">
      <c r="A173" s="68">
        <v>27</v>
      </c>
      <c r="B173" s="67" t="s">
        <v>222</v>
      </c>
      <c r="C173" s="69" t="s">
        <v>984</v>
      </c>
      <c r="D173" s="66" t="s">
        <v>976</v>
      </c>
      <c r="E173" s="70" t="s">
        <v>13</v>
      </c>
      <c r="F173" s="54"/>
      <c r="G173" s="54"/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v>0</v>
      </c>
      <c r="AD173" s="30">
        <v>0</v>
      </c>
      <c r="AE173" s="30">
        <v>0</v>
      </c>
      <c r="AF173" s="30">
        <v>0</v>
      </c>
      <c r="AG173" s="30">
        <v>0</v>
      </c>
      <c r="AH173" s="30">
        <v>0</v>
      </c>
      <c r="AI173" s="30">
        <v>0</v>
      </c>
      <c r="AJ173" s="30">
        <v>0</v>
      </c>
      <c r="AK173" s="30">
        <v>0</v>
      </c>
      <c r="AL173" s="30"/>
      <c r="AM173" s="55">
        <f t="shared" si="26"/>
        <v>0</v>
      </c>
      <c r="AN173" s="55">
        <f t="shared" si="27"/>
        <v>0</v>
      </c>
      <c r="AO173" s="72"/>
      <c r="AP173" s="74" t="str">
        <f t="shared" si="28"/>
        <v/>
      </c>
      <c r="AQ173" s="74" t="str">
        <f t="shared" si="29"/>
        <v/>
      </c>
    </row>
    <row r="174" spans="1:43" ht="13.8" thickBot="1" x14ac:dyDescent="0.3">
      <c r="A174" s="68">
        <v>28</v>
      </c>
      <c r="B174" s="67" t="s">
        <v>202</v>
      </c>
      <c r="C174" s="69" t="s">
        <v>987</v>
      </c>
      <c r="D174" s="66" t="s">
        <v>976</v>
      </c>
      <c r="E174" s="70" t="s">
        <v>13</v>
      </c>
      <c r="F174" s="54"/>
      <c r="G174" s="54"/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30">
        <v>0</v>
      </c>
      <c r="AA174" s="30">
        <v>0</v>
      </c>
      <c r="AB174" s="30">
        <v>0</v>
      </c>
      <c r="AC174" s="30">
        <v>0</v>
      </c>
      <c r="AD174" s="30">
        <v>0</v>
      </c>
      <c r="AE174" s="30">
        <v>0</v>
      </c>
      <c r="AF174" s="30">
        <v>0</v>
      </c>
      <c r="AG174" s="30">
        <v>0</v>
      </c>
      <c r="AH174" s="30">
        <v>0</v>
      </c>
      <c r="AI174" s="30">
        <v>0</v>
      </c>
      <c r="AJ174" s="30">
        <v>0</v>
      </c>
      <c r="AK174" s="30">
        <v>0</v>
      </c>
      <c r="AL174" s="30"/>
      <c r="AM174" s="55">
        <f t="shared" si="26"/>
        <v>0</v>
      </c>
      <c r="AN174" s="55">
        <f t="shared" si="27"/>
        <v>0</v>
      </c>
      <c r="AO174" s="72"/>
      <c r="AP174" s="74" t="str">
        <f t="shared" si="28"/>
        <v/>
      </c>
      <c r="AQ174" s="74" t="str">
        <f t="shared" si="29"/>
        <v/>
      </c>
    </row>
    <row r="175" spans="1:43" ht="13.8" thickBot="1" x14ac:dyDescent="0.3">
      <c r="A175" s="68">
        <v>29</v>
      </c>
      <c r="B175" s="67" t="s">
        <v>214</v>
      </c>
      <c r="C175" s="69" t="s">
        <v>987</v>
      </c>
      <c r="D175" s="66" t="s">
        <v>976</v>
      </c>
      <c r="E175" s="70" t="s">
        <v>13</v>
      </c>
      <c r="F175" s="54"/>
      <c r="G175" s="54"/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0</v>
      </c>
      <c r="AA175" s="30">
        <v>0</v>
      </c>
      <c r="AB175" s="30">
        <v>0</v>
      </c>
      <c r="AC175" s="30">
        <v>0</v>
      </c>
      <c r="AD175" s="30">
        <v>0</v>
      </c>
      <c r="AE175" s="30">
        <v>0</v>
      </c>
      <c r="AF175" s="30">
        <v>0</v>
      </c>
      <c r="AG175" s="30">
        <v>0</v>
      </c>
      <c r="AH175" s="30">
        <v>0</v>
      </c>
      <c r="AI175" s="30">
        <v>0</v>
      </c>
      <c r="AJ175" s="30">
        <v>0</v>
      </c>
      <c r="AK175" s="30">
        <v>0</v>
      </c>
      <c r="AL175" s="30"/>
      <c r="AM175" s="55">
        <f t="shared" si="26"/>
        <v>0</v>
      </c>
      <c r="AN175" s="55">
        <f t="shared" si="27"/>
        <v>0</v>
      </c>
      <c r="AO175" s="72"/>
      <c r="AP175" s="74" t="str">
        <f t="shared" si="28"/>
        <v/>
      </c>
      <c r="AQ175" s="74" t="str">
        <f t="shared" si="29"/>
        <v/>
      </c>
    </row>
    <row r="176" spans="1:43" ht="13.8" thickBot="1" x14ac:dyDescent="0.3">
      <c r="A176" s="68">
        <v>30</v>
      </c>
      <c r="B176" s="67" t="s">
        <v>993</v>
      </c>
      <c r="C176" s="69" t="s">
        <v>988</v>
      </c>
      <c r="D176" s="66" t="s">
        <v>219</v>
      </c>
      <c r="E176" s="66" t="s">
        <v>994</v>
      </c>
      <c r="F176" s="54"/>
      <c r="G176" s="54"/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0</v>
      </c>
      <c r="AG176" s="30">
        <v>0</v>
      </c>
      <c r="AH176" s="30">
        <v>0</v>
      </c>
      <c r="AI176" s="30">
        <v>0</v>
      </c>
      <c r="AJ176" s="30">
        <v>0</v>
      </c>
      <c r="AK176" s="30">
        <v>0</v>
      </c>
      <c r="AL176" s="30"/>
      <c r="AM176" s="55">
        <f t="shared" si="26"/>
        <v>0</v>
      </c>
      <c r="AN176" s="55">
        <f t="shared" si="27"/>
        <v>0</v>
      </c>
      <c r="AO176" s="72"/>
      <c r="AP176" s="74" t="str">
        <f t="shared" si="28"/>
        <v/>
      </c>
      <c r="AQ176" s="74" t="str">
        <f t="shared" si="29"/>
        <v/>
      </c>
    </row>
    <row r="177" spans="1:43" ht="13.8" thickBot="1" x14ac:dyDescent="0.3">
      <c r="A177" s="68">
        <v>31</v>
      </c>
      <c r="B177" s="67" t="s">
        <v>990</v>
      </c>
      <c r="C177" s="69" t="s">
        <v>989</v>
      </c>
      <c r="D177" s="66" t="s">
        <v>219</v>
      </c>
      <c r="E177" s="70" t="s">
        <v>13</v>
      </c>
      <c r="F177" s="54"/>
      <c r="G177" s="54"/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  <c r="AF177" s="30">
        <v>0</v>
      </c>
      <c r="AG177" s="30">
        <v>0</v>
      </c>
      <c r="AH177" s="30">
        <v>0</v>
      </c>
      <c r="AI177" s="30">
        <v>0</v>
      </c>
      <c r="AJ177" s="30">
        <v>0</v>
      </c>
      <c r="AK177" s="30">
        <v>0</v>
      </c>
      <c r="AL177" s="30"/>
      <c r="AM177" s="55">
        <f t="shared" si="26"/>
        <v>0</v>
      </c>
      <c r="AN177" s="55">
        <f t="shared" si="27"/>
        <v>0</v>
      </c>
      <c r="AO177" s="72"/>
      <c r="AP177" s="74" t="str">
        <f t="shared" si="28"/>
        <v/>
      </c>
      <c r="AQ177" s="74" t="str">
        <f t="shared" si="29"/>
        <v/>
      </c>
    </row>
    <row r="178" spans="1:43" ht="13.8" thickBot="1" x14ac:dyDescent="0.3">
      <c r="A178" s="68">
        <v>32</v>
      </c>
      <c r="B178" s="67" t="s">
        <v>196</v>
      </c>
      <c r="C178" s="69" t="s">
        <v>991</v>
      </c>
      <c r="D178" s="66" t="s">
        <v>213</v>
      </c>
      <c r="E178" s="66" t="s">
        <v>197</v>
      </c>
      <c r="F178" s="54"/>
      <c r="G178" s="54"/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0</v>
      </c>
      <c r="AG178" s="30">
        <v>0</v>
      </c>
      <c r="AH178" s="30">
        <v>0</v>
      </c>
      <c r="AI178" s="30">
        <v>0</v>
      </c>
      <c r="AJ178" s="30">
        <v>0</v>
      </c>
      <c r="AK178" s="30">
        <v>0</v>
      </c>
      <c r="AL178" s="30"/>
      <c r="AM178" s="55">
        <f t="shared" si="26"/>
        <v>0</v>
      </c>
      <c r="AN178" s="55">
        <f t="shared" si="27"/>
        <v>0</v>
      </c>
      <c r="AO178" s="72"/>
      <c r="AP178" s="74" t="str">
        <f t="shared" si="28"/>
        <v/>
      </c>
      <c r="AQ178" s="74" t="str">
        <f t="shared" si="29"/>
        <v/>
      </c>
    </row>
    <row r="179" spans="1:43" ht="13.8" thickBot="1" x14ac:dyDescent="0.3">
      <c r="A179" s="68">
        <v>33</v>
      </c>
      <c r="B179" s="67" t="s">
        <v>215</v>
      </c>
      <c r="C179" s="69" t="s">
        <v>992</v>
      </c>
      <c r="D179" s="66" t="s">
        <v>198</v>
      </c>
      <c r="E179" s="66" t="s">
        <v>206</v>
      </c>
      <c r="F179" s="54"/>
      <c r="G179" s="54"/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0">
        <v>0</v>
      </c>
      <c r="AI179" s="30">
        <v>0</v>
      </c>
      <c r="AJ179" s="30">
        <v>0</v>
      </c>
      <c r="AK179" s="30">
        <v>0</v>
      </c>
      <c r="AL179" s="30"/>
      <c r="AM179" s="55">
        <f t="shared" si="26"/>
        <v>0</v>
      </c>
      <c r="AN179" s="55">
        <f t="shared" si="27"/>
        <v>0</v>
      </c>
      <c r="AO179" s="72"/>
      <c r="AP179" s="74" t="str">
        <f t="shared" si="28"/>
        <v/>
      </c>
      <c r="AQ179" s="74" t="str">
        <f t="shared" si="29"/>
        <v/>
      </c>
    </row>
    <row r="180" spans="1:43" ht="13.8" thickBot="1" x14ac:dyDescent="0.3">
      <c r="A180" s="68">
        <v>34</v>
      </c>
      <c r="B180" s="67" t="s">
        <v>226</v>
      </c>
      <c r="C180" s="69" t="s">
        <v>992</v>
      </c>
      <c r="D180" s="66" t="s">
        <v>230</v>
      </c>
      <c r="E180" s="66" t="s">
        <v>227</v>
      </c>
      <c r="F180" s="54"/>
      <c r="G180" s="54"/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30">
        <v>0</v>
      </c>
      <c r="AA180" s="30">
        <v>0</v>
      </c>
      <c r="AB180" s="30">
        <v>0</v>
      </c>
      <c r="AC180" s="30">
        <v>0</v>
      </c>
      <c r="AD180" s="30">
        <v>0</v>
      </c>
      <c r="AE180" s="30">
        <v>0</v>
      </c>
      <c r="AF180" s="30">
        <v>0</v>
      </c>
      <c r="AG180" s="30">
        <v>0</v>
      </c>
      <c r="AH180" s="30">
        <v>0</v>
      </c>
      <c r="AI180" s="30">
        <v>0</v>
      </c>
      <c r="AJ180" s="30">
        <v>0</v>
      </c>
      <c r="AK180" s="30">
        <v>0</v>
      </c>
      <c r="AL180" s="30"/>
      <c r="AM180" s="55">
        <f t="shared" si="26"/>
        <v>0</v>
      </c>
      <c r="AN180" s="55">
        <f t="shared" si="27"/>
        <v>0</v>
      </c>
      <c r="AO180" s="72"/>
      <c r="AP180" s="74" t="str">
        <f t="shared" si="28"/>
        <v/>
      </c>
      <c r="AQ180" s="74" t="str">
        <f t="shared" si="29"/>
        <v/>
      </c>
    </row>
    <row r="181" spans="1:43" ht="13.8" thickBot="1" x14ac:dyDescent="0.3">
      <c r="A181" s="68">
        <v>35</v>
      </c>
      <c r="B181" s="67"/>
      <c r="C181" s="69"/>
      <c r="D181" s="66"/>
      <c r="E181" s="66"/>
      <c r="F181" s="54"/>
      <c r="G181" s="54"/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U181" s="30">
        <v>0</v>
      </c>
      <c r="V181" s="30">
        <v>0</v>
      </c>
      <c r="W181" s="30">
        <v>0</v>
      </c>
      <c r="X181" s="30">
        <v>0</v>
      </c>
      <c r="Y181" s="30">
        <v>0</v>
      </c>
      <c r="Z181" s="30">
        <v>0</v>
      </c>
      <c r="AA181" s="30">
        <v>0</v>
      </c>
      <c r="AB181" s="30">
        <v>0</v>
      </c>
      <c r="AC181" s="30">
        <v>0</v>
      </c>
      <c r="AD181" s="30">
        <v>0</v>
      </c>
      <c r="AE181" s="30">
        <v>0</v>
      </c>
      <c r="AF181" s="30">
        <v>0</v>
      </c>
      <c r="AG181" s="30">
        <v>0</v>
      </c>
      <c r="AH181" s="30">
        <v>0</v>
      </c>
      <c r="AI181" s="30">
        <v>0</v>
      </c>
      <c r="AJ181" s="30">
        <v>0</v>
      </c>
      <c r="AK181" s="30">
        <v>0</v>
      </c>
      <c r="AL181" s="30"/>
      <c r="AM181" s="55">
        <f t="shared" si="26"/>
        <v>0</v>
      </c>
      <c r="AN181" s="55">
        <f t="shared" si="27"/>
        <v>0</v>
      </c>
      <c r="AO181" s="72"/>
      <c r="AP181" s="74" t="str">
        <f t="shared" si="28"/>
        <v/>
      </c>
      <c r="AQ181" s="74" t="str">
        <f t="shared" si="29"/>
        <v/>
      </c>
    </row>
    <row r="182" spans="1:43" ht="13.8" thickBot="1" x14ac:dyDescent="0.3">
      <c r="A182" s="68">
        <v>36</v>
      </c>
      <c r="B182" s="67"/>
      <c r="C182" s="69"/>
      <c r="D182" s="66"/>
      <c r="E182" s="66"/>
      <c r="F182" s="54"/>
      <c r="G182" s="54"/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30">
        <v>0</v>
      </c>
      <c r="AA182" s="30">
        <v>0</v>
      </c>
      <c r="AB182" s="30">
        <v>0</v>
      </c>
      <c r="AC182" s="30">
        <v>0</v>
      </c>
      <c r="AD182" s="30">
        <v>0</v>
      </c>
      <c r="AE182" s="30">
        <v>0</v>
      </c>
      <c r="AF182" s="30">
        <v>0</v>
      </c>
      <c r="AG182" s="30">
        <v>0</v>
      </c>
      <c r="AH182" s="30">
        <v>0</v>
      </c>
      <c r="AI182" s="30">
        <v>0</v>
      </c>
      <c r="AJ182" s="30">
        <v>0</v>
      </c>
      <c r="AK182" s="30">
        <v>0</v>
      </c>
      <c r="AL182" s="30"/>
      <c r="AM182" s="55">
        <f t="shared" si="26"/>
        <v>0</v>
      </c>
      <c r="AN182" s="55">
        <f t="shared" si="27"/>
        <v>0</v>
      </c>
      <c r="AO182" s="72"/>
      <c r="AP182" s="74" t="str">
        <f t="shared" si="28"/>
        <v/>
      </c>
      <c r="AQ182" s="74" t="str">
        <f t="shared" si="29"/>
        <v/>
      </c>
    </row>
    <row r="183" spans="1:43" ht="13.8" thickBot="1" x14ac:dyDescent="0.3">
      <c r="A183" s="68">
        <v>37</v>
      </c>
      <c r="B183" s="67"/>
      <c r="C183" s="69"/>
      <c r="D183" s="66"/>
      <c r="E183" s="66"/>
      <c r="F183" s="54"/>
      <c r="G183" s="54"/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30">
        <v>0</v>
      </c>
      <c r="AA183" s="30">
        <v>0</v>
      </c>
      <c r="AB183" s="30">
        <v>0</v>
      </c>
      <c r="AC183" s="30">
        <v>0</v>
      </c>
      <c r="AD183" s="30">
        <v>0</v>
      </c>
      <c r="AE183" s="30">
        <v>0</v>
      </c>
      <c r="AF183" s="30">
        <v>0</v>
      </c>
      <c r="AG183" s="30">
        <v>0</v>
      </c>
      <c r="AH183" s="30">
        <v>0</v>
      </c>
      <c r="AI183" s="30">
        <v>0</v>
      </c>
      <c r="AJ183" s="30">
        <v>0</v>
      </c>
      <c r="AK183" s="30">
        <v>0</v>
      </c>
      <c r="AL183" s="30"/>
      <c r="AM183" s="55">
        <f t="shared" si="26"/>
        <v>0</v>
      </c>
      <c r="AN183" s="55">
        <f t="shared" si="27"/>
        <v>0</v>
      </c>
      <c r="AO183" s="72"/>
      <c r="AP183" s="74" t="str">
        <f t="shared" si="28"/>
        <v/>
      </c>
      <c r="AQ183" s="74" t="str">
        <f t="shared" si="29"/>
        <v/>
      </c>
    </row>
    <row r="184" spans="1:43" ht="13.8" thickBot="1" x14ac:dyDescent="0.3">
      <c r="A184" s="68">
        <v>38</v>
      </c>
      <c r="B184" s="67"/>
      <c r="C184" s="69"/>
      <c r="D184" s="66"/>
      <c r="E184" s="66"/>
      <c r="F184" s="54"/>
      <c r="G184" s="54"/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0</v>
      </c>
      <c r="W184" s="30">
        <v>0</v>
      </c>
      <c r="X184" s="30">
        <v>0</v>
      </c>
      <c r="Y184" s="30">
        <v>0</v>
      </c>
      <c r="Z184" s="30">
        <v>0</v>
      </c>
      <c r="AA184" s="30">
        <v>0</v>
      </c>
      <c r="AB184" s="30">
        <v>0</v>
      </c>
      <c r="AC184" s="30">
        <v>0</v>
      </c>
      <c r="AD184" s="30">
        <v>0</v>
      </c>
      <c r="AE184" s="30">
        <v>0</v>
      </c>
      <c r="AF184" s="30">
        <v>0</v>
      </c>
      <c r="AG184" s="30">
        <v>0</v>
      </c>
      <c r="AH184" s="30">
        <v>0</v>
      </c>
      <c r="AI184" s="30">
        <v>0</v>
      </c>
      <c r="AJ184" s="30">
        <v>0</v>
      </c>
      <c r="AK184" s="30">
        <v>0</v>
      </c>
      <c r="AL184" s="30"/>
      <c r="AM184" s="55">
        <f t="shared" si="26"/>
        <v>0</v>
      </c>
      <c r="AN184" s="55">
        <f t="shared" si="27"/>
        <v>0</v>
      </c>
      <c r="AO184" s="72"/>
      <c r="AP184" s="74" t="str">
        <f t="shared" si="28"/>
        <v/>
      </c>
      <c r="AQ184" s="74" t="str">
        <f t="shared" si="29"/>
        <v/>
      </c>
    </row>
    <row r="185" spans="1:43" ht="13.8" thickBot="1" x14ac:dyDescent="0.3">
      <c r="A185" s="68">
        <v>39</v>
      </c>
      <c r="B185" s="54"/>
      <c r="C185" s="54"/>
      <c r="D185" s="66"/>
      <c r="E185" s="66"/>
      <c r="F185" s="54"/>
      <c r="G185" s="54"/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30">
        <v>0</v>
      </c>
      <c r="X185" s="30">
        <v>0</v>
      </c>
      <c r="Y185" s="30">
        <v>0</v>
      </c>
      <c r="Z185" s="30">
        <v>0</v>
      </c>
      <c r="AA185" s="30">
        <v>0</v>
      </c>
      <c r="AB185" s="30">
        <v>0</v>
      </c>
      <c r="AC185" s="30">
        <v>0</v>
      </c>
      <c r="AD185" s="30">
        <v>0</v>
      </c>
      <c r="AE185" s="30">
        <v>0</v>
      </c>
      <c r="AF185" s="30">
        <v>0</v>
      </c>
      <c r="AG185" s="30">
        <v>0</v>
      </c>
      <c r="AH185" s="30">
        <v>0</v>
      </c>
      <c r="AI185" s="30">
        <v>0</v>
      </c>
      <c r="AJ185" s="30">
        <v>0</v>
      </c>
      <c r="AK185" s="30">
        <v>0</v>
      </c>
      <c r="AL185" s="30"/>
      <c r="AM185" s="55">
        <f t="shared" si="26"/>
        <v>0</v>
      </c>
      <c r="AN185" s="55">
        <f t="shared" si="27"/>
        <v>0</v>
      </c>
      <c r="AO185" s="72"/>
      <c r="AP185" s="74" t="str">
        <f t="shared" si="28"/>
        <v/>
      </c>
      <c r="AQ185" s="74" t="str">
        <f t="shared" si="29"/>
        <v/>
      </c>
    </row>
    <row r="186" spans="1:43" ht="18.600000000000001" customHeight="1" thickBot="1" x14ac:dyDescent="0.3">
      <c r="A186" s="92"/>
      <c r="B186" s="93"/>
      <c r="C186" s="42"/>
      <c r="D186" s="42"/>
      <c r="E186" s="42"/>
      <c r="F186" s="42"/>
      <c r="G186" s="42"/>
      <c r="H186" s="55">
        <f t="shared" ref="H186:AN186" si="30">SUM(H146:H185)</f>
        <v>0</v>
      </c>
      <c r="I186" s="55">
        <f t="shared" si="30"/>
        <v>0</v>
      </c>
      <c r="J186" s="55">
        <f t="shared" si="30"/>
        <v>0</v>
      </c>
      <c r="K186" s="55">
        <f t="shared" si="30"/>
        <v>0</v>
      </c>
      <c r="L186" s="55">
        <f t="shared" si="30"/>
        <v>0</v>
      </c>
      <c r="M186" s="55">
        <f t="shared" si="30"/>
        <v>0</v>
      </c>
      <c r="N186" s="55">
        <f t="shared" si="30"/>
        <v>0</v>
      </c>
      <c r="O186" s="55">
        <f t="shared" si="30"/>
        <v>0</v>
      </c>
      <c r="P186" s="55">
        <f t="shared" si="30"/>
        <v>0</v>
      </c>
      <c r="Q186" s="55">
        <f t="shared" si="30"/>
        <v>0</v>
      </c>
      <c r="R186" s="55">
        <f t="shared" si="30"/>
        <v>0</v>
      </c>
      <c r="S186" s="55">
        <f t="shared" si="30"/>
        <v>0</v>
      </c>
      <c r="T186" s="55">
        <f t="shared" si="30"/>
        <v>0</v>
      </c>
      <c r="U186" s="55">
        <f t="shared" si="30"/>
        <v>0</v>
      </c>
      <c r="V186" s="55">
        <f t="shared" si="30"/>
        <v>0</v>
      </c>
      <c r="W186" s="55">
        <f t="shared" si="30"/>
        <v>0</v>
      </c>
      <c r="X186" s="55">
        <f t="shared" si="30"/>
        <v>0</v>
      </c>
      <c r="Y186" s="55">
        <f t="shared" si="30"/>
        <v>0</v>
      </c>
      <c r="Z186" s="55">
        <f t="shared" si="30"/>
        <v>0</v>
      </c>
      <c r="AA186" s="55">
        <f t="shared" si="30"/>
        <v>0</v>
      </c>
      <c r="AB186" s="55">
        <f t="shared" si="30"/>
        <v>0</v>
      </c>
      <c r="AC186" s="55">
        <f t="shared" si="30"/>
        <v>0</v>
      </c>
      <c r="AD186" s="55">
        <f t="shared" si="30"/>
        <v>0</v>
      </c>
      <c r="AE186" s="55">
        <f t="shared" si="30"/>
        <v>0</v>
      </c>
      <c r="AF186" s="55">
        <f t="shared" si="30"/>
        <v>0</v>
      </c>
      <c r="AG186" s="55">
        <f t="shared" si="30"/>
        <v>0</v>
      </c>
      <c r="AH186" s="55">
        <f t="shared" si="30"/>
        <v>0</v>
      </c>
      <c r="AI186" s="55">
        <f t="shared" si="30"/>
        <v>0</v>
      </c>
      <c r="AJ186" s="55">
        <f t="shared" si="30"/>
        <v>0</v>
      </c>
      <c r="AK186" s="55">
        <f t="shared" si="30"/>
        <v>0</v>
      </c>
      <c r="AL186" s="55">
        <f t="shared" si="30"/>
        <v>0</v>
      </c>
      <c r="AM186" s="30">
        <f t="shared" si="30"/>
        <v>0</v>
      </c>
      <c r="AN186" s="30">
        <f t="shared" si="30"/>
        <v>0</v>
      </c>
    </row>
    <row r="188" spans="1:43" ht="17.399999999999999" customHeight="1" x14ac:dyDescent="0.25">
      <c r="A188" s="92" t="s">
        <v>174</v>
      </c>
      <c r="B188" s="93"/>
      <c r="C188" s="42"/>
      <c r="D188" s="42"/>
      <c r="E188" s="42"/>
      <c r="F188" s="42"/>
      <c r="G188" s="42"/>
      <c r="H188" s="111">
        <v>45778</v>
      </c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40" t="s">
        <v>954</v>
      </c>
      <c r="AN188" s="146" t="s">
        <v>953</v>
      </c>
      <c r="AO188" s="148" t="s">
        <v>955</v>
      </c>
      <c r="AP188" s="144" t="s">
        <v>958</v>
      </c>
      <c r="AQ188" s="144"/>
    </row>
    <row r="189" spans="1:43" ht="36" customHeight="1" thickBot="1" x14ac:dyDescent="0.3">
      <c r="A189" s="138" t="s">
        <v>948</v>
      </c>
      <c r="B189" s="138" t="s">
        <v>947</v>
      </c>
      <c r="C189" s="138" t="s">
        <v>959</v>
      </c>
      <c r="D189" s="138" t="s">
        <v>949</v>
      </c>
      <c r="E189" s="138"/>
      <c r="F189" s="154" t="s">
        <v>192</v>
      </c>
      <c r="G189" s="142" t="s">
        <v>193</v>
      </c>
      <c r="H189" s="45">
        <v>1</v>
      </c>
      <c r="I189" s="45">
        <v>2</v>
      </c>
      <c r="J189" s="45">
        <v>3</v>
      </c>
      <c r="K189" s="45">
        <v>4</v>
      </c>
      <c r="L189" s="45">
        <v>5</v>
      </c>
      <c r="M189" s="45">
        <v>6</v>
      </c>
      <c r="N189" s="45">
        <v>7</v>
      </c>
      <c r="O189" s="45">
        <v>8</v>
      </c>
      <c r="P189" s="45">
        <v>9</v>
      </c>
      <c r="Q189" s="45">
        <v>10</v>
      </c>
      <c r="R189" s="45">
        <v>11</v>
      </c>
      <c r="S189" s="45">
        <v>12</v>
      </c>
      <c r="T189" s="45">
        <v>13</v>
      </c>
      <c r="U189" s="45">
        <v>14</v>
      </c>
      <c r="V189" s="45">
        <v>15</v>
      </c>
      <c r="W189" s="45">
        <v>16</v>
      </c>
      <c r="X189" s="45">
        <v>17</v>
      </c>
      <c r="Y189" s="45">
        <v>18</v>
      </c>
      <c r="Z189" s="45">
        <v>19</v>
      </c>
      <c r="AA189" s="45">
        <v>20</v>
      </c>
      <c r="AB189" s="45">
        <v>21</v>
      </c>
      <c r="AC189" s="45">
        <v>22</v>
      </c>
      <c r="AD189" s="45">
        <v>23</v>
      </c>
      <c r="AE189" s="45">
        <v>24</v>
      </c>
      <c r="AF189" s="45">
        <v>25</v>
      </c>
      <c r="AG189" s="45">
        <v>26</v>
      </c>
      <c r="AH189" s="45">
        <v>27</v>
      </c>
      <c r="AI189" s="45">
        <v>28</v>
      </c>
      <c r="AJ189" s="45">
        <v>29</v>
      </c>
      <c r="AK189" s="45">
        <v>30</v>
      </c>
      <c r="AL189" s="45" t="s">
        <v>177</v>
      </c>
      <c r="AM189" s="140"/>
      <c r="AN189" s="146"/>
      <c r="AO189" s="148"/>
      <c r="AP189" s="150" t="s">
        <v>956</v>
      </c>
      <c r="AQ189" s="152" t="s">
        <v>957</v>
      </c>
    </row>
    <row r="190" spans="1:43" ht="13.8" thickBot="1" x14ac:dyDescent="0.3">
      <c r="A190" s="139"/>
      <c r="B190" s="139"/>
      <c r="C190" s="145"/>
      <c r="D190" s="64" t="s">
        <v>950</v>
      </c>
      <c r="E190" s="64" t="s">
        <v>951</v>
      </c>
      <c r="F190" s="155"/>
      <c r="G190" s="143"/>
      <c r="H190" s="28" t="s">
        <v>180</v>
      </c>
      <c r="I190" s="28" t="s">
        <v>181</v>
      </c>
      <c r="J190" s="28" t="s">
        <v>182</v>
      </c>
      <c r="K190" s="28" t="s">
        <v>183</v>
      </c>
      <c r="L190" s="28" t="s">
        <v>179</v>
      </c>
      <c r="M190" s="28" t="s">
        <v>24</v>
      </c>
      <c r="N190" s="28" t="s">
        <v>24</v>
      </c>
      <c r="O190" s="28" t="s">
        <v>180</v>
      </c>
      <c r="P190" s="28" t="s">
        <v>181</v>
      </c>
      <c r="Q190" s="28" t="s">
        <v>182</v>
      </c>
      <c r="R190" s="28" t="s">
        <v>183</v>
      </c>
      <c r="S190" s="28" t="s">
        <v>179</v>
      </c>
      <c r="T190" s="28" t="s">
        <v>24</v>
      </c>
      <c r="U190" s="28" t="s">
        <v>24</v>
      </c>
      <c r="V190" s="28" t="s">
        <v>180</v>
      </c>
      <c r="W190" s="28" t="s">
        <v>181</v>
      </c>
      <c r="X190" s="28" t="s">
        <v>182</v>
      </c>
      <c r="Y190" s="28" t="s">
        <v>183</v>
      </c>
      <c r="Z190" s="28" t="s">
        <v>179</v>
      </c>
      <c r="AA190" s="28" t="s">
        <v>24</v>
      </c>
      <c r="AB190" s="28" t="s">
        <v>24</v>
      </c>
      <c r="AC190" s="28" t="s">
        <v>180</v>
      </c>
      <c r="AD190" s="28" t="s">
        <v>181</v>
      </c>
      <c r="AE190" s="28" t="s">
        <v>182</v>
      </c>
      <c r="AF190" s="28" t="s">
        <v>183</v>
      </c>
      <c r="AG190" s="28" t="s">
        <v>179</v>
      </c>
      <c r="AH190" s="28" t="s">
        <v>24</v>
      </c>
      <c r="AI190" s="28" t="s">
        <v>24</v>
      </c>
      <c r="AJ190" s="28" t="s">
        <v>180</v>
      </c>
      <c r="AK190" s="28" t="s">
        <v>181</v>
      </c>
      <c r="AL190" s="28" t="s">
        <v>182</v>
      </c>
      <c r="AM190" s="141"/>
      <c r="AN190" s="147"/>
      <c r="AO190" s="149"/>
      <c r="AP190" s="151"/>
      <c r="AQ190" s="153"/>
    </row>
    <row r="191" spans="1:43" ht="13.8" thickBot="1" x14ac:dyDescent="0.3">
      <c r="A191" s="68">
        <v>1</v>
      </c>
      <c r="B191" s="67" t="s">
        <v>965</v>
      </c>
      <c r="C191" s="66" t="s">
        <v>960</v>
      </c>
      <c r="D191" s="66" t="s">
        <v>213</v>
      </c>
      <c r="E191" s="69" t="s">
        <v>197</v>
      </c>
      <c r="F191" s="54"/>
      <c r="G191" s="54"/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30">
        <v>0</v>
      </c>
      <c r="AA191" s="30">
        <v>0</v>
      </c>
      <c r="AB191" s="30">
        <v>0</v>
      </c>
      <c r="AC191" s="30">
        <v>0</v>
      </c>
      <c r="AD191" s="30">
        <v>0</v>
      </c>
      <c r="AE191" s="30">
        <v>0</v>
      </c>
      <c r="AF191" s="30">
        <v>0</v>
      </c>
      <c r="AG191" s="30">
        <v>0</v>
      </c>
      <c r="AH191" s="30">
        <v>0</v>
      </c>
      <c r="AI191" s="30">
        <v>0</v>
      </c>
      <c r="AJ191" s="30">
        <v>0</v>
      </c>
      <c r="AK191" s="30">
        <v>0</v>
      </c>
      <c r="AL191" s="30">
        <v>0</v>
      </c>
      <c r="AM191" s="55">
        <f>SUM(H191:AL191)</f>
        <v>0</v>
      </c>
      <c r="AN191" s="55">
        <f>F191+G191-AM191</f>
        <v>0</v>
      </c>
      <c r="AO191" s="72"/>
      <c r="AP191" s="74" t="str">
        <f>IF(AO191="","",IF($A$2&lt;=AO191,IF((AO191-$A$2)&lt;=90,"ALERTA","A TIEMPO"),"CADUCADO"))</f>
        <v/>
      </c>
      <c r="AQ191" s="74" t="str">
        <f>IF(AO191="","",AO191-$A$2)</f>
        <v/>
      </c>
    </row>
    <row r="192" spans="1:43" ht="13.8" thickBot="1" x14ac:dyDescent="0.3">
      <c r="A192" s="68">
        <v>2</v>
      </c>
      <c r="B192" s="67" t="s">
        <v>965</v>
      </c>
      <c r="C192" s="66" t="s">
        <v>960</v>
      </c>
      <c r="D192" s="66" t="s">
        <v>224</v>
      </c>
      <c r="E192" s="71">
        <v>0.01</v>
      </c>
      <c r="F192" s="54"/>
      <c r="G192" s="54"/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30">
        <v>0</v>
      </c>
      <c r="AA192" s="30">
        <v>0</v>
      </c>
      <c r="AB192" s="30">
        <v>0</v>
      </c>
      <c r="AC192" s="30">
        <v>0</v>
      </c>
      <c r="AD192" s="30">
        <v>0</v>
      </c>
      <c r="AE192" s="30">
        <v>0</v>
      </c>
      <c r="AF192" s="30">
        <v>0</v>
      </c>
      <c r="AG192" s="30">
        <v>0</v>
      </c>
      <c r="AH192" s="30">
        <v>0</v>
      </c>
      <c r="AI192" s="30">
        <v>0</v>
      </c>
      <c r="AJ192" s="30">
        <v>0</v>
      </c>
      <c r="AK192" s="30">
        <v>0</v>
      </c>
      <c r="AL192" s="30">
        <v>0</v>
      </c>
      <c r="AM192" s="55">
        <f t="shared" ref="AM192:AM230" si="31">SUM(H192:AL192)</f>
        <v>0</v>
      </c>
      <c r="AN192" s="55">
        <f t="shared" ref="AN192:AN230" si="32">F192+G192-AM192</f>
        <v>0</v>
      </c>
      <c r="AO192" s="72"/>
      <c r="AP192" s="74" t="str">
        <f t="shared" ref="AP192:AP230" si="33">IF(AO192="","",IF($A$2&lt;=AO192,IF((AO192-$A$2)&lt;=90,"ALERTA","A TIEMPO"),"CADUCADO"))</f>
        <v/>
      </c>
      <c r="AQ192" s="74" t="str">
        <f t="shared" ref="AQ192:AQ230" si="34">IF(AO192="","",AO192-$A$2)</f>
        <v/>
      </c>
    </row>
    <row r="193" spans="1:43" ht="13.8" thickBot="1" x14ac:dyDescent="0.3">
      <c r="A193" s="68">
        <v>3</v>
      </c>
      <c r="B193" s="67" t="s">
        <v>211</v>
      </c>
      <c r="C193" s="66" t="s">
        <v>960</v>
      </c>
      <c r="D193" s="66" t="s">
        <v>198</v>
      </c>
      <c r="E193" s="69" t="s">
        <v>964</v>
      </c>
      <c r="F193" s="54"/>
      <c r="G193" s="54"/>
      <c r="H193" s="30">
        <v>0</v>
      </c>
      <c r="I193" s="30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0">
        <v>0</v>
      </c>
      <c r="W193" s="30">
        <v>0</v>
      </c>
      <c r="X193" s="30">
        <v>0</v>
      </c>
      <c r="Y193" s="30">
        <v>0</v>
      </c>
      <c r="Z193" s="30">
        <v>0</v>
      </c>
      <c r="AA193" s="30">
        <v>0</v>
      </c>
      <c r="AB193" s="30">
        <v>0</v>
      </c>
      <c r="AC193" s="30">
        <v>0</v>
      </c>
      <c r="AD193" s="30">
        <v>0</v>
      </c>
      <c r="AE193" s="30">
        <v>0</v>
      </c>
      <c r="AF193" s="30">
        <v>0</v>
      </c>
      <c r="AG193" s="30">
        <v>0</v>
      </c>
      <c r="AH193" s="30">
        <v>0</v>
      </c>
      <c r="AI193" s="30">
        <v>0</v>
      </c>
      <c r="AJ193" s="30">
        <v>0</v>
      </c>
      <c r="AK193" s="30">
        <v>0</v>
      </c>
      <c r="AL193" s="30">
        <v>0</v>
      </c>
      <c r="AM193" s="55">
        <f t="shared" si="31"/>
        <v>0</v>
      </c>
      <c r="AN193" s="55">
        <f t="shared" si="32"/>
        <v>0</v>
      </c>
      <c r="AO193" s="72"/>
      <c r="AP193" s="74" t="str">
        <f t="shared" si="33"/>
        <v/>
      </c>
      <c r="AQ193" s="74" t="str">
        <f t="shared" si="34"/>
        <v/>
      </c>
    </row>
    <row r="194" spans="1:43" ht="13.8" thickBot="1" x14ac:dyDescent="0.3">
      <c r="A194" s="68">
        <v>4</v>
      </c>
      <c r="B194" s="67" t="s">
        <v>985</v>
      </c>
      <c r="C194" s="66" t="s">
        <v>960</v>
      </c>
      <c r="D194" s="66" t="s">
        <v>198</v>
      </c>
      <c r="E194" s="70" t="s">
        <v>986</v>
      </c>
      <c r="F194" s="54"/>
      <c r="G194" s="54"/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0</v>
      </c>
      <c r="Q194" s="30">
        <v>0</v>
      </c>
      <c r="R194" s="30">
        <v>0</v>
      </c>
      <c r="S194" s="30">
        <v>0</v>
      </c>
      <c r="T194" s="30">
        <v>0</v>
      </c>
      <c r="U194" s="30">
        <v>0</v>
      </c>
      <c r="V194" s="30">
        <v>0</v>
      </c>
      <c r="W194" s="30">
        <v>0</v>
      </c>
      <c r="X194" s="30">
        <v>0</v>
      </c>
      <c r="Y194" s="30">
        <v>0</v>
      </c>
      <c r="Z194" s="30">
        <v>0</v>
      </c>
      <c r="AA194" s="30">
        <v>0</v>
      </c>
      <c r="AB194" s="30">
        <v>0</v>
      </c>
      <c r="AC194" s="30">
        <v>0</v>
      </c>
      <c r="AD194" s="30">
        <v>0</v>
      </c>
      <c r="AE194" s="30">
        <v>0</v>
      </c>
      <c r="AF194" s="30">
        <v>0</v>
      </c>
      <c r="AG194" s="30">
        <v>0</v>
      </c>
      <c r="AH194" s="30">
        <v>0</v>
      </c>
      <c r="AI194" s="30">
        <v>0</v>
      </c>
      <c r="AJ194" s="30">
        <v>0</v>
      </c>
      <c r="AK194" s="30">
        <v>0</v>
      </c>
      <c r="AL194" s="30">
        <v>0</v>
      </c>
      <c r="AM194" s="55">
        <f t="shared" si="31"/>
        <v>0</v>
      </c>
      <c r="AN194" s="55">
        <f t="shared" si="32"/>
        <v>0</v>
      </c>
      <c r="AO194" s="72"/>
      <c r="AP194" s="74" t="str">
        <f t="shared" si="33"/>
        <v/>
      </c>
      <c r="AQ194" s="74" t="str">
        <f t="shared" si="34"/>
        <v/>
      </c>
    </row>
    <row r="195" spans="1:43" ht="13.8" thickBot="1" x14ac:dyDescent="0.3">
      <c r="A195" s="68">
        <v>4</v>
      </c>
      <c r="B195" s="67" t="s">
        <v>963</v>
      </c>
      <c r="C195" s="66" t="s">
        <v>960</v>
      </c>
      <c r="D195" s="66" t="s">
        <v>213</v>
      </c>
      <c r="E195" s="70" t="s">
        <v>13</v>
      </c>
      <c r="F195" s="54"/>
      <c r="G195" s="54"/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0</v>
      </c>
      <c r="S195" s="30">
        <v>0</v>
      </c>
      <c r="T195" s="30">
        <v>0</v>
      </c>
      <c r="U195" s="30">
        <v>0</v>
      </c>
      <c r="V195" s="30">
        <v>0</v>
      </c>
      <c r="W195" s="30">
        <v>0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  <c r="AD195" s="30">
        <v>0</v>
      </c>
      <c r="AE195" s="30">
        <v>0</v>
      </c>
      <c r="AF195" s="30">
        <v>0</v>
      </c>
      <c r="AG195" s="30">
        <v>0</v>
      </c>
      <c r="AH195" s="30">
        <v>0</v>
      </c>
      <c r="AI195" s="30">
        <v>0</v>
      </c>
      <c r="AJ195" s="30">
        <v>0</v>
      </c>
      <c r="AK195" s="30">
        <v>0</v>
      </c>
      <c r="AL195" s="30">
        <v>0</v>
      </c>
      <c r="AM195" s="55">
        <f t="shared" si="31"/>
        <v>0</v>
      </c>
      <c r="AN195" s="55">
        <f t="shared" si="32"/>
        <v>0</v>
      </c>
      <c r="AO195" s="72"/>
      <c r="AP195" s="74" t="str">
        <f t="shared" si="33"/>
        <v/>
      </c>
      <c r="AQ195" s="74" t="str">
        <f t="shared" si="34"/>
        <v/>
      </c>
    </row>
    <row r="196" spans="1:43" ht="13.8" thickBot="1" x14ac:dyDescent="0.3">
      <c r="A196" s="68">
        <v>5</v>
      </c>
      <c r="B196" s="67" t="s">
        <v>228</v>
      </c>
      <c r="C196" s="66" t="s">
        <v>960</v>
      </c>
      <c r="D196" s="66" t="s">
        <v>213</v>
      </c>
      <c r="E196" s="69" t="s">
        <v>229</v>
      </c>
      <c r="F196" s="54"/>
      <c r="G196" s="54"/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0</v>
      </c>
      <c r="S196" s="30">
        <v>0</v>
      </c>
      <c r="T196" s="30">
        <v>0</v>
      </c>
      <c r="U196" s="30">
        <v>0</v>
      </c>
      <c r="V196" s="30">
        <v>0</v>
      </c>
      <c r="W196" s="30">
        <v>0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  <c r="AD196" s="30">
        <v>0</v>
      </c>
      <c r="AE196" s="30">
        <v>0</v>
      </c>
      <c r="AF196" s="30">
        <v>0</v>
      </c>
      <c r="AG196" s="30">
        <v>0</v>
      </c>
      <c r="AH196" s="30">
        <v>0</v>
      </c>
      <c r="AI196" s="30">
        <v>0</v>
      </c>
      <c r="AJ196" s="30">
        <v>0</v>
      </c>
      <c r="AK196" s="30">
        <v>0</v>
      </c>
      <c r="AL196" s="30">
        <v>0</v>
      </c>
      <c r="AM196" s="55">
        <f t="shared" si="31"/>
        <v>0</v>
      </c>
      <c r="AN196" s="55">
        <f t="shared" si="32"/>
        <v>0</v>
      </c>
      <c r="AO196" s="72"/>
      <c r="AP196" s="74" t="str">
        <f t="shared" si="33"/>
        <v/>
      </c>
      <c r="AQ196" s="74" t="str">
        <f t="shared" si="34"/>
        <v/>
      </c>
    </row>
    <row r="197" spans="1:43" ht="13.8" thickBot="1" x14ac:dyDescent="0.3">
      <c r="A197" s="68">
        <v>6</v>
      </c>
      <c r="B197" s="67" t="s">
        <v>968</v>
      </c>
      <c r="C197" s="66" t="s">
        <v>960</v>
      </c>
      <c r="D197" s="66" t="s">
        <v>198</v>
      </c>
      <c r="E197" s="69" t="s">
        <v>199</v>
      </c>
      <c r="F197" s="54"/>
      <c r="G197" s="54"/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0</v>
      </c>
      <c r="U197" s="30">
        <v>0</v>
      </c>
      <c r="V197" s="30">
        <v>0</v>
      </c>
      <c r="W197" s="30">
        <v>0</v>
      </c>
      <c r="X197" s="30">
        <v>0</v>
      </c>
      <c r="Y197" s="30">
        <v>0</v>
      </c>
      <c r="Z197" s="30">
        <v>0</v>
      </c>
      <c r="AA197" s="30">
        <v>0</v>
      </c>
      <c r="AB197" s="30">
        <v>0</v>
      </c>
      <c r="AC197" s="30">
        <v>0</v>
      </c>
      <c r="AD197" s="30">
        <v>0</v>
      </c>
      <c r="AE197" s="30">
        <v>0</v>
      </c>
      <c r="AF197" s="30">
        <v>0</v>
      </c>
      <c r="AG197" s="30">
        <v>0</v>
      </c>
      <c r="AH197" s="30">
        <v>0</v>
      </c>
      <c r="AI197" s="30">
        <v>0</v>
      </c>
      <c r="AJ197" s="30">
        <v>0</v>
      </c>
      <c r="AK197" s="30">
        <v>0</v>
      </c>
      <c r="AL197" s="30">
        <v>0</v>
      </c>
      <c r="AM197" s="55">
        <f t="shared" si="31"/>
        <v>0</v>
      </c>
      <c r="AN197" s="55">
        <f t="shared" si="32"/>
        <v>0</v>
      </c>
      <c r="AO197" s="72"/>
      <c r="AP197" s="74" t="str">
        <f t="shared" si="33"/>
        <v/>
      </c>
      <c r="AQ197" s="74" t="str">
        <f t="shared" si="34"/>
        <v/>
      </c>
    </row>
    <row r="198" spans="1:43" ht="13.8" thickBot="1" x14ac:dyDescent="0.3">
      <c r="A198" s="68">
        <v>7</v>
      </c>
      <c r="B198" s="67" t="s">
        <v>220</v>
      </c>
      <c r="C198" s="66" t="s">
        <v>960</v>
      </c>
      <c r="D198" s="66" t="s">
        <v>198</v>
      </c>
      <c r="E198" s="69" t="s">
        <v>195</v>
      </c>
      <c r="F198" s="54"/>
      <c r="G198" s="54"/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0</v>
      </c>
      <c r="Y198" s="30">
        <v>0</v>
      </c>
      <c r="Z198" s="30">
        <v>0</v>
      </c>
      <c r="AA198" s="30">
        <v>0</v>
      </c>
      <c r="AB198" s="30">
        <v>0</v>
      </c>
      <c r="AC198" s="30">
        <v>0</v>
      </c>
      <c r="AD198" s="30">
        <v>0</v>
      </c>
      <c r="AE198" s="30">
        <v>0</v>
      </c>
      <c r="AF198" s="30">
        <v>0</v>
      </c>
      <c r="AG198" s="30">
        <v>0</v>
      </c>
      <c r="AH198" s="30">
        <v>0</v>
      </c>
      <c r="AI198" s="30">
        <v>0</v>
      </c>
      <c r="AJ198" s="30">
        <v>0</v>
      </c>
      <c r="AK198" s="30">
        <v>0</v>
      </c>
      <c r="AL198" s="30">
        <v>0</v>
      </c>
      <c r="AM198" s="55">
        <f t="shared" si="31"/>
        <v>0</v>
      </c>
      <c r="AN198" s="55">
        <f t="shared" si="32"/>
        <v>0</v>
      </c>
      <c r="AO198" s="72"/>
      <c r="AP198" s="74" t="str">
        <f t="shared" si="33"/>
        <v/>
      </c>
      <c r="AQ198" s="74" t="str">
        <f t="shared" si="34"/>
        <v/>
      </c>
    </row>
    <row r="199" spans="1:43" ht="13.8" thickBot="1" x14ac:dyDescent="0.3">
      <c r="A199" s="68">
        <v>8</v>
      </c>
      <c r="B199" s="67" t="s">
        <v>962</v>
      </c>
      <c r="C199" s="66" t="s">
        <v>960</v>
      </c>
      <c r="D199" s="66" t="s">
        <v>198</v>
      </c>
      <c r="E199" s="69" t="s">
        <v>961</v>
      </c>
      <c r="F199" s="54"/>
      <c r="G199" s="54"/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  <c r="U199" s="30">
        <v>0</v>
      </c>
      <c r="V199" s="30">
        <v>0</v>
      </c>
      <c r="W199" s="30">
        <v>0</v>
      </c>
      <c r="X199" s="30">
        <v>0</v>
      </c>
      <c r="Y199" s="30">
        <v>0</v>
      </c>
      <c r="Z199" s="30">
        <v>0</v>
      </c>
      <c r="AA199" s="30">
        <v>0</v>
      </c>
      <c r="AB199" s="30">
        <v>0</v>
      </c>
      <c r="AC199" s="30">
        <v>0</v>
      </c>
      <c r="AD199" s="30">
        <v>0</v>
      </c>
      <c r="AE199" s="30">
        <v>0</v>
      </c>
      <c r="AF199" s="30">
        <v>0</v>
      </c>
      <c r="AG199" s="30">
        <v>0</v>
      </c>
      <c r="AH199" s="30">
        <v>0</v>
      </c>
      <c r="AI199" s="30">
        <v>0</v>
      </c>
      <c r="AJ199" s="30">
        <v>0</v>
      </c>
      <c r="AK199" s="30">
        <v>0</v>
      </c>
      <c r="AL199" s="30">
        <v>0</v>
      </c>
      <c r="AM199" s="55">
        <f t="shared" si="31"/>
        <v>0</v>
      </c>
      <c r="AN199" s="55">
        <f t="shared" si="32"/>
        <v>0</v>
      </c>
      <c r="AO199" s="72"/>
      <c r="AP199" s="74" t="str">
        <f t="shared" si="33"/>
        <v/>
      </c>
      <c r="AQ199" s="74" t="str">
        <f t="shared" si="34"/>
        <v/>
      </c>
    </row>
    <row r="200" spans="1:43" ht="13.8" thickBot="1" x14ac:dyDescent="0.3">
      <c r="A200" s="68">
        <v>9</v>
      </c>
      <c r="B200" s="67" t="s">
        <v>966</v>
      </c>
      <c r="C200" s="66" t="s">
        <v>960</v>
      </c>
      <c r="D200" s="66" t="s">
        <v>201</v>
      </c>
      <c r="E200" s="69" t="s">
        <v>967</v>
      </c>
      <c r="F200" s="54"/>
      <c r="G200" s="54"/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30">
        <v>0</v>
      </c>
      <c r="T200" s="30">
        <v>0</v>
      </c>
      <c r="U200" s="30">
        <v>0</v>
      </c>
      <c r="V200" s="30">
        <v>0</v>
      </c>
      <c r="W200" s="30">
        <v>0</v>
      </c>
      <c r="X200" s="30">
        <v>0</v>
      </c>
      <c r="Y200" s="30">
        <v>0</v>
      </c>
      <c r="Z200" s="30">
        <v>0</v>
      </c>
      <c r="AA200" s="30">
        <v>0</v>
      </c>
      <c r="AB200" s="30">
        <v>0</v>
      </c>
      <c r="AC200" s="30">
        <v>0</v>
      </c>
      <c r="AD200" s="30">
        <v>0</v>
      </c>
      <c r="AE200" s="30">
        <v>0</v>
      </c>
      <c r="AF200" s="30">
        <v>0</v>
      </c>
      <c r="AG200" s="30">
        <v>0</v>
      </c>
      <c r="AH200" s="30">
        <v>0</v>
      </c>
      <c r="AI200" s="30">
        <v>0</v>
      </c>
      <c r="AJ200" s="30">
        <v>0</v>
      </c>
      <c r="AK200" s="30">
        <v>0</v>
      </c>
      <c r="AL200" s="30">
        <v>0</v>
      </c>
      <c r="AM200" s="55">
        <f t="shared" si="31"/>
        <v>0</v>
      </c>
      <c r="AN200" s="55">
        <f t="shared" si="32"/>
        <v>0</v>
      </c>
      <c r="AO200" s="72"/>
      <c r="AP200" s="74" t="str">
        <f t="shared" si="33"/>
        <v/>
      </c>
      <c r="AQ200" s="74" t="str">
        <f t="shared" si="34"/>
        <v/>
      </c>
    </row>
    <row r="201" spans="1:43" ht="13.8" thickBot="1" x14ac:dyDescent="0.3">
      <c r="A201" s="68">
        <v>10</v>
      </c>
      <c r="B201" s="67" t="s">
        <v>194</v>
      </c>
      <c r="C201" s="66" t="s">
        <v>969</v>
      </c>
      <c r="D201" s="66" t="s">
        <v>198</v>
      </c>
      <c r="E201" s="69" t="s">
        <v>195</v>
      </c>
      <c r="F201" s="54"/>
      <c r="G201" s="54"/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  <c r="U201" s="30">
        <v>0</v>
      </c>
      <c r="V201" s="30">
        <v>0</v>
      </c>
      <c r="W201" s="30">
        <v>0</v>
      </c>
      <c r="X201" s="30">
        <v>0</v>
      </c>
      <c r="Y201" s="30">
        <v>0</v>
      </c>
      <c r="Z201" s="30">
        <v>0</v>
      </c>
      <c r="AA201" s="30">
        <v>0</v>
      </c>
      <c r="AB201" s="30">
        <v>0</v>
      </c>
      <c r="AC201" s="30">
        <v>0</v>
      </c>
      <c r="AD201" s="30">
        <v>0</v>
      </c>
      <c r="AE201" s="30">
        <v>0</v>
      </c>
      <c r="AF201" s="30">
        <v>0</v>
      </c>
      <c r="AG201" s="30">
        <v>0</v>
      </c>
      <c r="AH201" s="30">
        <v>0</v>
      </c>
      <c r="AI201" s="30">
        <v>0</v>
      </c>
      <c r="AJ201" s="30">
        <v>0</v>
      </c>
      <c r="AK201" s="30">
        <v>0</v>
      </c>
      <c r="AL201" s="30">
        <v>0</v>
      </c>
      <c r="AM201" s="55">
        <f t="shared" si="31"/>
        <v>0</v>
      </c>
      <c r="AN201" s="55">
        <f t="shared" si="32"/>
        <v>0</v>
      </c>
      <c r="AO201" s="72"/>
      <c r="AP201" s="74" t="str">
        <f t="shared" si="33"/>
        <v/>
      </c>
      <c r="AQ201" s="74" t="str">
        <f t="shared" si="34"/>
        <v/>
      </c>
    </row>
    <row r="202" spans="1:43" ht="13.8" thickBot="1" x14ac:dyDescent="0.3">
      <c r="A202" s="68">
        <v>11</v>
      </c>
      <c r="B202" s="67" t="s">
        <v>200</v>
      </c>
      <c r="C202" s="66" t="s">
        <v>969</v>
      </c>
      <c r="D202" s="66" t="s">
        <v>198</v>
      </c>
      <c r="E202" s="69" t="s">
        <v>970</v>
      </c>
      <c r="F202" s="54"/>
      <c r="G202" s="54"/>
      <c r="H202" s="30">
        <v>0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30"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0</v>
      </c>
      <c r="AF202" s="30">
        <v>0</v>
      </c>
      <c r="AG202" s="30">
        <v>0</v>
      </c>
      <c r="AH202" s="30">
        <v>0</v>
      </c>
      <c r="AI202" s="30">
        <v>0</v>
      </c>
      <c r="AJ202" s="30">
        <v>0</v>
      </c>
      <c r="AK202" s="30">
        <v>0</v>
      </c>
      <c r="AL202" s="30">
        <v>0</v>
      </c>
      <c r="AM202" s="55">
        <f t="shared" si="31"/>
        <v>0</v>
      </c>
      <c r="AN202" s="55">
        <f t="shared" si="32"/>
        <v>0</v>
      </c>
      <c r="AO202" s="72"/>
      <c r="AP202" s="74" t="str">
        <f t="shared" si="33"/>
        <v/>
      </c>
      <c r="AQ202" s="74" t="str">
        <f t="shared" si="34"/>
        <v/>
      </c>
    </row>
    <row r="203" spans="1:43" ht="13.8" thickBot="1" x14ac:dyDescent="0.3">
      <c r="A203" s="68">
        <v>12</v>
      </c>
      <c r="B203" s="67" t="s">
        <v>972</v>
      </c>
      <c r="C203" s="69" t="s">
        <v>971</v>
      </c>
      <c r="D203" s="66" t="s">
        <v>213</v>
      </c>
      <c r="E203" s="69" t="s">
        <v>203</v>
      </c>
      <c r="F203" s="54"/>
      <c r="G203" s="54"/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30"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0">
        <v>0</v>
      </c>
      <c r="AG203" s="30">
        <v>0</v>
      </c>
      <c r="AH203" s="30">
        <v>0</v>
      </c>
      <c r="AI203" s="30">
        <v>0</v>
      </c>
      <c r="AJ203" s="30">
        <v>0</v>
      </c>
      <c r="AK203" s="30">
        <v>0</v>
      </c>
      <c r="AL203" s="30">
        <v>0</v>
      </c>
      <c r="AM203" s="55">
        <f t="shared" si="31"/>
        <v>0</v>
      </c>
      <c r="AN203" s="55">
        <f t="shared" si="32"/>
        <v>0</v>
      </c>
      <c r="AO203" s="72"/>
      <c r="AP203" s="74" t="str">
        <f t="shared" si="33"/>
        <v/>
      </c>
      <c r="AQ203" s="74" t="str">
        <f t="shared" si="34"/>
        <v/>
      </c>
    </row>
    <row r="204" spans="1:43" ht="13.8" thickBot="1" x14ac:dyDescent="0.3">
      <c r="A204" s="68">
        <v>13</v>
      </c>
      <c r="B204" s="67" t="s">
        <v>212</v>
      </c>
      <c r="C204" s="69" t="s">
        <v>971</v>
      </c>
      <c r="D204" s="66" t="s">
        <v>213</v>
      </c>
      <c r="E204" s="69" t="s">
        <v>203</v>
      </c>
      <c r="F204" s="54"/>
      <c r="G204" s="54"/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0</v>
      </c>
      <c r="R204" s="30">
        <v>0</v>
      </c>
      <c r="S204" s="30">
        <v>0</v>
      </c>
      <c r="T204" s="30">
        <v>0</v>
      </c>
      <c r="U204" s="30">
        <v>0</v>
      </c>
      <c r="V204" s="30">
        <v>0</v>
      </c>
      <c r="W204" s="30">
        <v>0</v>
      </c>
      <c r="X204" s="30">
        <v>0</v>
      </c>
      <c r="Y204" s="30">
        <v>0</v>
      </c>
      <c r="Z204" s="30">
        <v>0</v>
      </c>
      <c r="AA204" s="30">
        <v>0</v>
      </c>
      <c r="AB204" s="30">
        <v>0</v>
      </c>
      <c r="AC204" s="30">
        <v>0</v>
      </c>
      <c r="AD204" s="30">
        <v>0</v>
      </c>
      <c r="AE204" s="30">
        <v>0</v>
      </c>
      <c r="AF204" s="30">
        <v>0</v>
      </c>
      <c r="AG204" s="30">
        <v>0</v>
      </c>
      <c r="AH204" s="30">
        <v>0</v>
      </c>
      <c r="AI204" s="30">
        <v>0</v>
      </c>
      <c r="AJ204" s="30">
        <v>0</v>
      </c>
      <c r="AK204" s="30">
        <v>0</v>
      </c>
      <c r="AL204" s="30">
        <v>0</v>
      </c>
      <c r="AM204" s="55">
        <f t="shared" si="31"/>
        <v>0</v>
      </c>
      <c r="AN204" s="55">
        <f t="shared" si="32"/>
        <v>0</v>
      </c>
      <c r="AO204" s="72"/>
      <c r="AP204" s="74" t="str">
        <f t="shared" si="33"/>
        <v/>
      </c>
      <c r="AQ204" s="74" t="str">
        <f t="shared" si="34"/>
        <v/>
      </c>
    </row>
    <row r="205" spans="1:43" ht="13.8" thickBot="1" x14ac:dyDescent="0.3">
      <c r="A205" s="68">
        <v>14</v>
      </c>
      <c r="B205" s="67" t="s">
        <v>204</v>
      </c>
      <c r="C205" s="69" t="s">
        <v>46</v>
      </c>
      <c r="D205" s="66" t="s">
        <v>198</v>
      </c>
      <c r="E205" s="70" t="s">
        <v>13</v>
      </c>
      <c r="F205" s="54"/>
      <c r="G205" s="54"/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30">
        <v>0</v>
      </c>
      <c r="X205" s="30">
        <v>0</v>
      </c>
      <c r="Y205" s="30">
        <v>0</v>
      </c>
      <c r="Z205" s="30">
        <v>0</v>
      </c>
      <c r="AA205" s="30">
        <v>0</v>
      </c>
      <c r="AB205" s="30">
        <v>0</v>
      </c>
      <c r="AC205" s="30">
        <v>0</v>
      </c>
      <c r="AD205" s="30">
        <v>0</v>
      </c>
      <c r="AE205" s="30">
        <v>0</v>
      </c>
      <c r="AF205" s="30">
        <v>0</v>
      </c>
      <c r="AG205" s="30">
        <v>0</v>
      </c>
      <c r="AH205" s="30">
        <v>0</v>
      </c>
      <c r="AI205" s="30">
        <v>0</v>
      </c>
      <c r="AJ205" s="30">
        <v>0</v>
      </c>
      <c r="AK205" s="30">
        <v>0</v>
      </c>
      <c r="AL205" s="30">
        <v>0</v>
      </c>
      <c r="AM205" s="55">
        <f t="shared" si="31"/>
        <v>0</v>
      </c>
      <c r="AN205" s="55">
        <f t="shared" si="32"/>
        <v>0</v>
      </c>
      <c r="AO205" s="72"/>
      <c r="AP205" s="74" t="str">
        <f t="shared" si="33"/>
        <v/>
      </c>
      <c r="AQ205" s="74" t="str">
        <f t="shared" si="34"/>
        <v/>
      </c>
    </row>
    <row r="206" spans="1:43" ht="13.8" thickBot="1" x14ac:dyDescent="0.3">
      <c r="A206" s="68">
        <v>15</v>
      </c>
      <c r="B206" s="67" t="s">
        <v>973</v>
      </c>
      <c r="C206" s="69" t="s">
        <v>46</v>
      </c>
      <c r="D206" s="66" t="s">
        <v>201</v>
      </c>
      <c r="E206" s="69" t="s">
        <v>203</v>
      </c>
      <c r="F206" s="54"/>
      <c r="G206" s="54"/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0</v>
      </c>
      <c r="R206" s="30">
        <v>0</v>
      </c>
      <c r="S206" s="30">
        <v>0</v>
      </c>
      <c r="T206" s="30">
        <v>0</v>
      </c>
      <c r="U206" s="30">
        <v>0</v>
      </c>
      <c r="V206" s="30">
        <v>0</v>
      </c>
      <c r="W206" s="30">
        <v>0</v>
      </c>
      <c r="X206" s="30">
        <v>0</v>
      </c>
      <c r="Y206" s="30">
        <v>0</v>
      </c>
      <c r="Z206" s="30">
        <v>0</v>
      </c>
      <c r="AA206" s="30">
        <v>0</v>
      </c>
      <c r="AB206" s="30">
        <v>0</v>
      </c>
      <c r="AC206" s="30">
        <v>0</v>
      </c>
      <c r="AD206" s="30">
        <v>0</v>
      </c>
      <c r="AE206" s="30">
        <v>0</v>
      </c>
      <c r="AF206" s="30">
        <v>0</v>
      </c>
      <c r="AG206" s="30">
        <v>0</v>
      </c>
      <c r="AH206" s="30">
        <v>0</v>
      </c>
      <c r="AI206" s="30">
        <v>0</v>
      </c>
      <c r="AJ206" s="30">
        <v>0</v>
      </c>
      <c r="AK206" s="30">
        <v>0</v>
      </c>
      <c r="AL206" s="30">
        <v>0</v>
      </c>
      <c r="AM206" s="55">
        <f t="shared" si="31"/>
        <v>0</v>
      </c>
      <c r="AN206" s="55">
        <f t="shared" si="32"/>
        <v>0</v>
      </c>
      <c r="AO206" s="72"/>
      <c r="AP206" s="74" t="str">
        <f t="shared" si="33"/>
        <v/>
      </c>
      <c r="AQ206" s="74" t="str">
        <f t="shared" si="34"/>
        <v/>
      </c>
    </row>
    <row r="207" spans="1:43" ht="13.8" thickBot="1" x14ac:dyDescent="0.3">
      <c r="A207" s="68">
        <v>16</v>
      </c>
      <c r="B207" s="67" t="s">
        <v>218</v>
      </c>
      <c r="C207" s="69" t="s">
        <v>46</v>
      </c>
      <c r="D207" s="66" t="s">
        <v>198</v>
      </c>
      <c r="E207" s="69" t="s">
        <v>975</v>
      </c>
      <c r="F207" s="54"/>
      <c r="G207" s="54"/>
      <c r="H207" s="30">
        <v>0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0</v>
      </c>
      <c r="Q207" s="30">
        <v>0</v>
      </c>
      <c r="R207" s="30">
        <v>0</v>
      </c>
      <c r="S207" s="30">
        <v>0</v>
      </c>
      <c r="T207" s="30">
        <v>0</v>
      </c>
      <c r="U207" s="30">
        <v>0</v>
      </c>
      <c r="V207" s="30">
        <v>0</v>
      </c>
      <c r="W207" s="30">
        <v>0</v>
      </c>
      <c r="X207" s="30">
        <v>0</v>
      </c>
      <c r="Y207" s="30">
        <v>0</v>
      </c>
      <c r="Z207" s="30">
        <v>0</v>
      </c>
      <c r="AA207" s="30">
        <v>0</v>
      </c>
      <c r="AB207" s="30">
        <v>0</v>
      </c>
      <c r="AC207" s="30">
        <v>0</v>
      </c>
      <c r="AD207" s="30">
        <v>0</v>
      </c>
      <c r="AE207" s="30">
        <v>0</v>
      </c>
      <c r="AF207" s="30">
        <v>0</v>
      </c>
      <c r="AG207" s="30">
        <v>0</v>
      </c>
      <c r="AH207" s="30">
        <v>0</v>
      </c>
      <c r="AI207" s="30">
        <v>0</v>
      </c>
      <c r="AJ207" s="30">
        <v>0</v>
      </c>
      <c r="AK207" s="30">
        <v>0</v>
      </c>
      <c r="AL207" s="30">
        <v>0</v>
      </c>
      <c r="AM207" s="55">
        <f t="shared" si="31"/>
        <v>0</v>
      </c>
      <c r="AN207" s="55">
        <f t="shared" si="32"/>
        <v>0</v>
      </c>
      <c r="AO207" s="72"/>
      <c r="AP207" s="74" t="str">
        <f t="shared" si="33"/>
        <v/>
      </c>
      <c r="AQ207" s="74" t="str">
        <f t="shared" si="34"/>
        <v/>
      </c>
    </row>
    <row r="208" spans="1:43" ht="13.8" thickBot="1" x14ac:dyDescent="0.3">
      <c r="A208" s="68">
        <v>17</v>
      </c>
      <c r="B208" s="67" t="s">
        <v>974</v>
      </c>
      <c r="C208" s="69" t="s">
        <v>46</v>
      </c>
      <c r="D208" s="66" t="s">
        <v>210</v>
      </c>
      <c r="E208" s="70" t="s">
        <v>13</v>
      </c>
      <c r="F208" s="54"/>
      <c r="G208" s="54"/>
      <c r="H208" s="30">
        <v>0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30">
        <v>0</v>
      </c>
      <c r="R208" s="30">
        <v>0</v>
      </c>
      <c r="S208" s="30">
        <v>0</v>
      </c>
      <c r="T208" s="30">
        <v>0</v>
      </c>
      <c r="U208" s="30">
        <v>0</v>
      </c>
      <c r="V208" s="30">
        <v>0</v>
      </c>
      <c r="W208" s="30">
        <v>0</v>
      </c>
      <c r="X208" s="30">
        <v>0</v>
      </c>
      <c r="Y208" s="30">
        <v>0</v>
      </c>
      <c r="Z208" s="30">
        <v>0</v>
      </c>
      <c r="AA208" s="30">
        <v>0</v>
      </c>
      <c r="AB208" s="30">
        <v>0</v>
      </c>
      <c r="AC208" s="30">
        <v>0</v>
      </c>
      <c r="AD208" s="30">
        <v>0</v>
      </c>
      <c r="AE208" s="30">
        <v>0</v>
      </c>
      <c r="AF208" s="30">
        <v>0</v>
      </c>
      <c r="AG208" s="30">
        <v>0</v>
      </c>
      <c r="AH208" s="30">
        <v>0</v>
      </c>
      <c r="AI208" s="30">
        <v>0</v>
      </c>
      <c r="AJ208" s="30">
        <v>0</v>
      </c>
      <c r="AK208" s="30">
        <v>0</v>
      </c>
      <c r="AL208" s="30">
        <v>0</v>
      </c>
      <c r="AM208" s="55">
        <f t="shared" si="31"/>
        <v>0</v>
      </c>
      <c r="AN208" s="55">
        <f t="shared" si="32"/>
        <v>0</v>
      </c>
      <c r="AO208" s="72"/>
      <c r="AP208" s="74" t="str">
        <f t="shared" si="33"/>
        <v/>
      </c>
      <c r="AQ208" s="74" t="str">
        <f t="shared" si="34"/>
        <v/>
      </c>
    </row>
    <row r="209" spans="1:43" ht="13.8" thickBot="1" x14ac:dyDescent="0.3">
      <c r="A209" s="68">
        <v>18</v>
      </c>
      <c r="B209" s="67" t="s">
        <v>221</v>
      </c>
      <c r="C209" s="69" t="s">
        <v>46</v>
      </c>
      <c r="D209" s="66" t="s">
        <v>976</v>
      </c>
      <c r="E209" s="70" t="s">
        <v>13</v>
      </c>
      <c r="F209" s="54"/>
      <c r="G209" s="54"/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0</v>
      </c>
      <c r="R209" s="30">
        <v>0</v>
      </c>
      <c r="S209" s="30">
        <v>0</v>
      </c>
      <c r="T209" s="30">
        <v>0</v>
      </c>
      <c r="U209" s="30">
        <v>0</v>
      </c>
      <c r="V209" s="30">
        <v>0</v>
      </c>
      <c r="W209" s="30">
        <v>0</v>
      </c>
      <c r="X209" s="30">
        <v>0</v>
      </c>
      <c r="Y209" s="30">
        <v>0</v>
      </c>
      <c r="Z209" s="30">
        <v>0</v>
      </c>
      <c r="AA209" s="30">
        <v>0</v>
      </c>
      <c r="AB209" s="30">
        <v>0</v>
      </c>
      <c r="AC209" s="30">
        <v>0</v>
      </c>
      <c r="AD209" s="30">
        <v>0</v>
      </c>
      <c r="AE209" s="30">
        <v>0</v>
      </c>
      <c r="AF209" s="30">
        <v>0</v>
      </c>
      <c r="AG209" s="30">
        <v>0</v>
      </c>
      <c r="AH209" s="30">
        <v>0</v>
      </c>
      <c r="AI209" s="30">
        <v>0</v>
      </c>
      <c r="AJ209" s="30">
        <v>0</v>
      </c>
      <c r="AK209" s="30">
        <v>0</v>
      </c>
      <c r="AL209" s="30">
        <v>0</v>
      </c>
      <c r="AM209" s="55">
        <f t="shared" si="31"/>
        <v>0</v>
      </c>
      <c r="AN209" s="55">
        <f t="shared" si="32"/>
        <v>0</v>
      </c>
      <c r="AO209" s="72"/>
      <c r="AP209" s="74" t="str">
        <f t="shared" si="33"/>
        <v/>
      </c>
      <c r="AQ209" s="74" t="str">
        <f t="shared" si="34"/>
        <v/>
      </c>
    </row>
    <row r="210" spans="1:43" ht="13.8" thickBot="1" x14ac:dyDescent="0.3">
      <c r="A210" s="68">
        <v>19</v>
      </c>
      <c r="B210" s="67" t="s">
        <v>223</v>
      </c>
      <c r="C210" s="69" t="s">
        <v>977</v>
      </c>
      <c r="D210" s="66" t="s">
        <v>224</v>
      </c>
      <c r="E210" s="69" t="s">
        <v>978</v>
      </c>
      <c r="F210" s="54"/>
      <c r="G210" s="54"/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30">
        <v>0</v>
      </c>
      <c r="T210" s="30">
        <v>0</v>
      </c>
      <c r="U210" s="30">
        <v>0</v>
      </c>
      <c r="V210" s="30">
        <v>0</v>
      </c>
      <c r="W210" s="30">
        <v>0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  <c r="AD210" s="30">
        <v>0</v>
      </c>
      <c r="AE210" s="30">
        <v>0</v>
      </c>
      <c r="AF210" s="30">
        <v>0</v>
      </c>
      <c r="AG210" s="30">
        <v>0</v>
      </c>
      <c r="AH210" s="30">
        <v>0</v>
      </c>
      <c r="AI210" s="30">
        <v>0</v>
      </c>
      <c r="AJ210" s="30">
        <v>0</v>
      </c>
      <c r="AK210" s="30">
        <v>0</v>
      </c>
      <c r="AL210" s="30">
        <v>0</v>
      </c>
      <c r="AM210" s="55">
        <f t="shared" si="31"/>
        <v>0</v>
      </c>
      <c r="AN210" s="55">
        <f t="shared" si="32"/>
        <v>0</v>
      </c>
      <c r="AO210" s="72"/>
      <c r="AP210" s="74" t="str">
        <f t="shared" si="33"/>
        <v/>
      </c>
      <c r="AQ210" s="74" t="str">
        <f t="shared" si="34"/>
        <v/>
      </c>
    </row>
    <row r="211" spans="1:43" ht="13.8" thickBot="1" x14ac:dyDescent="0.3">
      <c r="A211" s="68">
        <v>20</v>
      </c>
      <c r="B211" s="67" t="s">
        <v>205</v>
      </c>
      <c r="C211" s="69" t="s">
        <v>979</v>
      </c>
      <c r="D211" s="66" t="s">
        <v>201</v>
      </c>
      <c r="E211" s="70" t="s">
        <v>13</v>
      </c>
      <c r="F211" s="54"/>
      <c r="G211" s="54"/>
      <c r="H211" s="30">
        <v>0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</v>
      </c>
      <c r="Q211" s="30">
        <v>0</v>
      </c>
      <c r="R211" s="30">
        <v>0</v>
      </c>
      <c r="S211" s="30">
        <v>0</v>
      </c>
      <c r="T211" s="30">
        <v>0</v>
      </c>
      <c r="U211" s="30">
        <v>0</v>
      </c>
      <c r="V211" s="30">
        <v>0</v>
      </c>
      <c r="W211" s="30">
        <v>0</v>
      </c>
      <c r="X211" s="30">
        <v>0</v>
      </c>
      <c r="Y211" s="30">
        <v>0</v>
      </c>
      <c r="Z211" s="30">
        <v>0</v>
      </c>
      <c r="AA211" s="30">
        <v>0</v>
      </c>
      <c r="AB211" s="30">
        <v>0</v>
      </c>
      <c r="AC211" s="30">
        <v>0</v>
      </c>
      <c r="AD211" s="30">
        <v>0</v>
      </c>
      <c r="AE211" s="30">
        <v>0</v>
      </c>
      <c r="AF211" s="30">
        <v>0</v>
      </c>
      <c r="AG211" s="30">
        <v>0</v>
      </c>
      <c r="AH211" s="30">
        <v>0</v>
      </c>
      <c r="AI211" s="30">
        <v>0</v>
      </c>
      <c r="AJ211" s="30">
        <v>0</v>
      </c>
      <c r="AK211" s="30">
        <v>0</v>
      </c>
      <c r="AL211" s="30">
        <v>0</v>
      </c>
      <c r="AM211" s="55">
        <f t="shared" si="31"/>
        <v>0</v>
      </c>
      <c r="AN211" s="55">
        <f t="shared" si="32"/>
        <v>0</v>
      </c>
      <c r="AO211" s="72"/>
      <c r="AP211" s="74" t="str">
        <f t="shared" si="33"/>
        <v/>
      </c>
      <c r="AQ211" s="74" t="str">
        <f t="shared" si="34"/>
        <v/>
      </c>
    </row>
    <row r="212" spans="1:43" ht="13.8" thickBot="1" x14ac:dyDescent="0.3">
      <c r="A212" s="68">
        <v>21</v>
      </c>
      <c r="B212" s="67" t="s">
        <v>209</v>
      </c>
      <c r="C212" s="69" t="s">
        <v>979</v>
      </c>
      <c r="D212" s="66" t="s">
        <v>210</v>
      </c>
      <c r="E212" s="70" t="s">
        <v>13</v>
      </c>
      <c r="F212" s="54"/>
      <c r="G212" s="54"/>
      <c r="H212" s="30">
        <v>0</v>
      </c>
      <c r="I212" s="30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30">
        <v>0</v>
      </c>
      <c r="R212" s="30">
        <v>0</v>
      </c>
      <c r="S212" s="30">
        <v>0</v>
      </c>
      <c r="T212" s="30">
        <v>0</v>
      </c>
      <c r="U212" s="30">
        <v>0</v>
      </c>
      <c r="V212" s="30">
        <v>0</v>
      </c>
      <c r="W212" s="30">
        <v>0</v>
      </c>
      <c r="X212" s="30">
        <v>0</v>
      </c>
      <c r="Y212" s="30">
        <v>0</v>
      </c>
      <c r="Z212" s="30">
        <v>0</v>
      </c>
      <c r="AA212" s="30">
        <v>0</v>
      </c>
      <c r="AB212" s="30">
        <v>0</v>
      </c>
      <c r="AC212" s="30">
        <v>0</v>
      </c>
      <c r="AD212" s="30">
        <v>0</v>
      </c>
      <c r="AE212" s="30">
        <v>0</v>
      </c>
      <c r="AF212" s="30">
        <v>0</v>
      </c>
      <c r="AG212" s="30">
        <v>0</v>
      </c>
      <c r="AH212" s="30">
        <v>0</v>
      </c>
      <c r="AI212" s="30">
        <v>0</v>
      </c>
      <c r="AJ212" s="30">
        <v>0</v>
      </c>
      <c r="AK212" s="30">
        <v>0</v>
      </c>
      <c r="AL212" s="30">
        <v>0</v>
      </c>
      <c r="AM212" s="55">
        <f t="shared" si="31"/>
        <v>0</v>
      </c>
      <c r="AN212" s="55">
        <f t="shared" si="32"/>
        <v>0</v>
      </c>
      <c r="AO212" s="72"/>
      <c r="AP212" s="74" t="str">
        <f t="shared" si="33"/>
        <v/>
      </c>
      <c r="AQ212" s="74" t="str">
        <f t="shared" si="34"/>
        <v/>
      </c>
    </row>
    <row r="213" spans="1:43" ht="13.8" thickBot="1" x14ac:dyDescent="0.3">
      <c r="A213" s="68">
        <v>22</v>
      </c>
      <c r="B213" s="67" t="s">
        <v>207</v>
      </c>
      <c r="C213" s="69" t="s">
        <v>980</v>
      </c>
      <c r="D213" s="66" t="s">
        <v>201</v>
      </c>
      <c r="E213" s="69" t="s">
        <v>208</v>
      </c>
      <c r="F213" s="54"/>
      <c r="G213" s="54"/>
      <c r="H213" s="30">
        <v>0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0</v>
      </c>
      <c r="R213" s="30">
        <v>0</v>
      </c>
      <c r="S213" s="30">
        <v>0</v>
      </c>
      <c r="T213" s="30">
        <v>0</v>
      </c>
      <c r="U213" s="30">
        <v>0</v>
      </c>
      <c r="V213" s="30">
        <v>0</v>
      </c>
      <c r="W213" s="30">
        <v>0</v>
      </c>
      <c r="X213" s="30">
        <v>0</v>
      </c>
      <c r="Y213" s="30">
        <v>0</v>
      </c>
      <c r="Z213" s="30">
        <v>0</v>
      </c>
      <c r="AA213" s="30">
        <v>0</v>
      </c>
      <c r="AB213" s="30">
        <v>0</v>
      </c>
      <c r="AC213" s="30">
        <v>0</v>
      </c>
      <c r="AD213" s="30">
        <v>0</v>
      </c>
      <c r="AE213" s="30">
        <v>0</v>
      </c>
      <c r="AF213" s="30">
        <v>0</v>
      </c>
      <c r="AG213" s="30">
        <v>0</v>
      </c>
      <c r="AH213" s="30">
        <v>0</v>
      </c>
      <c r="AI213" s="30">
        <v>0</v>
      </c>
      <c r="AJ213" s="30">
        <v>0</v>
      </c>
      <c r="AK213" s="30">
        <v>0</v>
      </c>
      <c r="AL213" s="30">
        <v>0</v>
      </c>
      <c r="AM213" s="55">
        <f t="shared" si="31"/>
        <v>0</v>
      </c>
      <c r="AN213" s="55">
        <f t="shared" si="32"/>
        <v>0</v>
      </c>
      <c r="AO213" s="72"/>
      <c r="AP213" s="74" t="str">
        <f t="shared" si="33"/>
        <v/>
      </c>
      <c r="AQ213" s="74" t="str">
        <f t="shared" si="34"/>
        <v/>
      </c>
    </row>
    <row r="214" spans="1:43" ht="13.8" thickBot="1" x14ac:dyDescent="0.3">
      <c r="A214" s="68">
        <v>23</v>
      </c>
      <c r="B214" s="67" t="s">
        <v>982</v>
      </c>
      <c r="C214" s="69" t="s">
        <v>981</v>
      </c>
      <c r="D214" s="66" t="s">
        <v>201</v>
      </c>
      <c r="E214" s="71">
        <v>0.02</v>
      </c>
      <c r="F214" s="54"/>
      <c r="G214" s="54"/>
      <c r="H214" s="30">
        <v>0</v>
      </c>
      <c r="I214" s="30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30">
        <v>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30">
        <v>0</v>
      </c>
      <c r="AM214" s="55">
        <f t="shared" si="31"/>
        <v>0</v>
      </c>
      <c r="AN214" s="55">
        <f t="shared" si="32"/>
        <v>0</v>
      </c>
      <c r="AO214" s="72"/>
      <c r="AP214" s="74" t="str">
        <f t="shared" si="33"/>
        <v/>
      </c>
      <c r="AQ214" s="74" t="str">
        <f t="shared" si="34"/>
        <v/>
      </c>
    </row>
    <row r="215" spans="1:43" ht="13.8" thickBot="1" x14ac:dyDescent="0.3">
      <c r="A215" s="68">
        <v>24</v>
      </c>
      <c r="B215" s="67" t="s">
        <v>216</v>
      </c>
      <c r="C215" s="69" t="s">
        <v>983</v>
      </c>
      <c r="D215" s="66" t="s">
        <v>213</v>
      </c>
      <c r="E215" s="70" t="s">
        <v>13</v>
      </c>
      <c r="F215" s="54"/>
      <c r="G215" s="54"/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0</v>
      </c>
      <c r="R215" s="30">
        <v>0</v>
      </c>
      <c r="S215" s="30">
        <v>0</v>
      </c>
      <c r="T215" s="30">
        <v>0</v>
      </c>
      <c r="U215" s="30">
        <v>0</v>
      </c>
      <c r="V215" s="30">
        <v>0</v>
      </c>
      <c r="W215" s="30">
        <v>0</v>
      </c>
      <c r="X215" s="30">
        <v>0</v>
      </c>
      <c r="Y215" s="30">
        <v>0</v>
      </c>
      <c r="Z215" s="30">
        <v>0</v>
      </c>
      <c r="AA215" s="30">
        <v>0</v>
      </c>
      <c r="AB215" s="30">
        <v>0</v>
      </c>
      <c r="AC215" s="30">
        <v>0</v>
      </c>
      <c r="AD215" s="30">
        <v>0</v>
      </c>
      <c r="AE215" s="30">
        <v>0</v>
      </c>
      <c r="AF215" s="30">
        <v>0</v>
      </c>
      <c r="AG215" s="30">
        <v>0</v>
      </c>
      <c r="AH215" s="30">
        <v>0</v>
      </c>
      <c r="AI215" s="30">
        <v>0</v>
      </c>
      <c r="AJ215" s="30">
        <v>0</v>
      </c>
      <c r="AK215" s="30">
        <v>0</v>
      </c>
      <c r="AL215" s="30">
        <v>0</v>
      </c>
      <c r="AM215" s="55">
        <f t="shared" si="31"/>
        <v>0</v>
      </c>
      <c r="AN215" s="55">
        <f t="shared" si="32"/>
        <v>0</v>
      </c>
      <c r="AO215" s="72"/>
      <c r="AP215" s="74" t="str">
        <f t="shared" si="33"/>
        <v/>
      </c>
      <c r="AQ215" s="74" t="str">
        <f t="shared" si="34"/>
        <v/>
      </c>
    </row>
    <row r="216" spans="1:43" ht="13.8" thickBot="1" x14ac:dyDescent="0.3">
      <c r="A216" s="68">
        <v>25</v>
      </c>
      <c r="B216" s="67" t="s">
        <v>217</v>
      </c>
      <c r="C216" s="69" t="s">
        <v>983</v>
      </c>
      <c r="D216" s="66" t="s">
        <v>198</v>
      </c>
      <c r="E216" s="70" t="s">
        <v>13</v>
      </c>
      <c r="F216" s="54"/>
      <c r="G216" s="54"/>
      <c r="H216" s="30">
        <v>0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0</v>
      </c>
      <c r="U216" s="30">
        <v>0</v>
      </c>
      <c r="V216" s="30">
        <v>0</v>
      </c>
      <c r="W216" s="30">
        <v>0</v>
      </c>
      <c r="X216" s="30">
        <v>0</v>
      </c>
      <c r="Y216" s="30">
        <v>0</v>
      </c>
      <c r="Z216" s="30">
        <v>0</v>
      </c>
      <c r="AA216" s="30">
        <v>0</v>
      </c>
      <c r="AB216" s="30">
        <v>0</v>
      </c>
      <c r="AC216" s="30">
        <v>0</v>
      </c>
      <c r="AD216" s="30">
        <v>0</v>
      </c>
      <c r="AE216" s="30">
        <v>0</v>
      </c>
      <c r="AF216" s="30">
        <v>0</v>
      </c>
      <c r="AG216" s="30">
        <v>0</v>
      </c>
      <c r="AH216" s="30">
        <v>0</v>
      </c>
      <c r="AI216" s="30">
        <v>0</v>
      </c>
      <c r="AJ216" s="30">
        <v>0</v>
      </c>
      <c r="AK216" s="30">
        <v>0</v>
      </c>
      <c r="AL216" s="30">
        <v>0</v>
      </c>
      <c r="AM216" s="55">
        <f t="shared" si="31"/>
        <v>0</v>
      </c>
      <c r="AN216" s="55">
        <f t="shared" si="32"/>
        <v>0</v>
      </c>
      <c r="AO216" s="72"/>
      <c r="AP216" s="74" t="str">
        <f t="shared" si="33"/>
        <v/>
      </c>
      <c r="AQ216" s="74" t="str">
        <f t="shared" si="34"/>
        <v/>
      </c>
    </row>
    <row r="217" spans="1:43" ht="13.8" thickBot="1" x14ac:dyDescent="0.3">
      <c r="A217" s="68">
        <v>26</v>
      </c>
      <c r="B217" s="67" t="s">
        <v>225</v>
      </c>
      <c r="C217" s="69" t="s">
        <v>983</v>
      </c>
      <c r="D217" s="66" t="s">
        <v>198</v>
      </c>
      <c r="E217" s="70" t="s">
        <v>13</v>
      </c>
      <c r="F217" s="54"/>
      <c r="G217" s="54"/>
      <c r="H217" s="30">
        <v>0</v>
      </c>
      <c r="I217" s="30">
        <v>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30">
        <v>0</v>
      </c>
      <c r="R217" s="30">
        <v>0</v>
      </c>
      <c r="S217" s="30">
        <v>0</v>
      </c>
      <c r="T217" s="30">
        <v>0</v>
      </c>
      <c r="U217" s="30">
        <v>0</v>
      </c>
      <c r="V217" s="30">
        <v>0</v>
      </c>
      <c r="W217" s="30">
        <v>0</v>
      </c>
      <c r="X217" s="30">
        <v>0</v>
      </c>
      <c r="Y217" s="30">
        <v>0</v>
      </c>
      <c r="Z217" s="30">
        <v>0</v>
      </c>
      <c r="AA217" s="30">
        <v>0</v>
      </c>
      <c r="AB217" s="30">
        <v>0</v>
      </c>
      <c r="AC217" s="30">
        <v>0</v>
      </c>
      <c r="AD217" s="30">
        <v>0</v>
      </c>
      <c r="AE217" s="30">
        <v>0</v>
      </c>
      <c r="AF217" s="30">
        <v>0</v>
      </c>
      <c r="AG217" s="30">
        <v>0</v>
      </c>
      <c r="AH217" s="30">
        <v>0</v>
      </c>
      <c r="AI217" s="30">
        <v>0</v>
      </c>
      <c r="AJ217" s="30">
        <v>0</v>
      </c>
      <c r="AK217" s="30">
        <v>0</v>
      </c>
      <c r="AL217" s="30">
        <v>0</v>
      </c>
      <c r="AM217" s="55">
        <f t="shared" si="31"/>
        <v>0</v>
      </c>
      <c r="AN217" s="55">
        <f t="shared" si="32"/>
        <v>0</v>
      </c>
      <c r="AO217" s="72"/>
      <c r="AP217" s="74" t="str">
        <f t="shared" si="33"/>
        <v/>
      </c>
      <c r="AQ217" s="74" t="str">
        <f t="shared" si="34"/>
        <v/>
      </c>
    </row>
    <row r="218" spans="1:43" ht="13.8" thickBot="1" x14ac:dyDescent="0.3">
      <c r="A218" s="68">
        <v>27</v>
      </c>
      <c r="B218" s="67" t="s">
        <v>222</v>
      </c>
      <c r="C218" s="69" t="s">
        <v>984</v>
      </c>
      <c r="D218" s="66" t="s">
        <v>976</v>
      </c>
      <c r="E218" s="70" t="s">
        <v>13</v>
      </c>
      <c r="F218" s="54"/>
      <c r="G218" s="54"/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0</v>
      </c>
      <c r="R218" s="30">
        <v>0</v>
      </c>
      <c r="S218" s="30">
        <v>0</v>
      </c>
      <c r="T218" s="30">
        <v>0</v>
      </c>
      <c r="U218" s="30">
        <v>0</v>
      </c>
      <c r="V218" s="30">
        <v>0</v>
      </c>
      <c r="W218" s="30">
        <v>0</v>
      </c>
      <c r="X218" s="30">
        <v>0</v>
      </c>
      <c r="Y218" s="30">
        <v>0</v>
      </c>
      <c r="Z218" s="30">
        <v>0</v>
      </c>
      <c r="AA218" s="30">
        <v>0</v>
      </c>
      <c r="AB218" s="30">
        <v>0</v>
      </c>
      <c r="AC218" s="30">
        <v>0</v>
      </c>
      <c r="AD218" s="30">
        <v>0</v>
      </c>
      <c r="AE218" s="30">
        <v>0</v>
      </c>
      <c r="AF218" s="30">
        <v>0</v>
      </c>
      <c r="AG218" s="30">
        <v>0</v>
      </c>
      <c r="AH218" s="30">
        <v>0</v>
      </c>
      <c r="AI218" s="30">
        <v>0</v>
      </c>
      <c r="AJ218" s="30">
        <v>0</v>
      </c>
      <c r="AK218" s="30">
        <v>0</v>
      </c>
      <c r="AL218" s="30">
        <v>0</v>
      </c>
      <c r="AM218" s="55">
        <f t="shared" si="31"/>
        <v>0</v>
      </c>
      <c r="AN218" s="55">
        <f t="shared" si="32"/>
        <v>0</v>
      </c>
      <c r="AO218" s="72"/>
      <c r="AP218" s="74" t="str">
        <f t="shared" si="33"/>
        <v/>
      </c>
      <c r="AQ218" s="74" t="str">
        <f t="shared" si="34"/>
        <v/>
      </c>
    </row>
    <row r="219" spans="1:43" ht="13.8" thickBot="1" x14ac:dyDescent="0.3">
      <c r="A219" s="68">
        <v>28</v>
      </c>
      <c r="B219" s="67" t="s">
        <v>202</v>
      </c>
      <c r="C219" s="69" t="s">
        <v>987</v>
      </c>
      <c r="D219" s="66" t="s">
        <v>976</v>
      </c>
      <c r="E219" s="70" t="s">
        <v>13</v>
      </c>
      <c r="F219" s="54"/>
      <c r="G219" s="54"/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  <c r="V219" s="30">
        <v>0</v>
      </c>
      <c r="W219" s="30">
        <v>0</v>
      </c>
      <c r="X219" s="30">
        <v>0</v>
      </c>
      <c r="Y219" s="30">
        <v>0</v>
      </c>
      <c r="Z219" s="30">
        <v>0</v>
      </c>
      <c r="AA219" s="30">
        <v>0</v>
      </c>
      <c r="AB219" s="30">
        <v>0</v>
      </c>
      <c r="AC219" s="30">
        <v>0</v>
      </c>
      <c r="AD219" s="30">
        <v>0</v>
      </c>
      <c r="AE219" s="30">
        <v>0</v>
      </c>
      <c r="AF219" s="30">
        <v>0</v>
      </c>
      <c r="AG219" s="30">
        <v>0</v>
      </c>
      <c r="AH219" s="30">
        <v>0</v>
      </c>
      <c r="AI219" s="30">
        <v>0</v>
      </c>
      <c r="AJ219" s="30">
        <v>0</v>
      </c>
      <c r="AK219" s="30">
        <v>0</v>
      </c>
      <c r="AL219" s="30">
        <v>0</v>
      </c>
      <c r="AM219" s="55">
        <f t="shared" si="31"/>
        <v>0</v>
      </c>
      <c r="AN219" s="55">
        <f t="shared" si="32"/>
        <v>0</v>
      </c>
      <c r="AO219" s="72"/>
      <c r="AP219" s="74" t="str">
        <f t="shared" si="33"/>
        <v/>
      </c>
      <c r="AQ219" s="74" t="str">
        <f t="shared" si="34"/>
        <v/>
      </c>
    </row>
    <row r="220" spans="1:43" ht="13.8" thickBot="1" x14ac:dyDescent="0.3">
      <c r="A220" s="68">
        <v>29</v>
      </c>
      <c r="B220" s="67" t="s">
        <v>214</v>
      </c>
      <c r="C220" s="69" t="s">
        <v>987</v>
      </c>
      <c r="D220" s="66" t="s">
        <v>976</v>
      </c>
      <c r="E220" s="70" t="s">
        <v>13</v>
      </c>
      <c r="F220" s="54"/>
      <c r="G220" s="54"/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0</v>
      </c>
      <c r="V220" s="30">
        <v>0</v>
      </c>
      <c r="W220" s="30">
        <v>0</v>
      </c>
      <c r="X220" s="30">
        <v>0</v>
      </c>
      <c r="Y220" s="30">
        <v>0</v>
      </c>
      <c r="Z220" s="30">
        <v>0</v>
      </c>
      <c r="AA220" s="30">
        <v>0</v>
      </c>
      <c r="AB220" s="30">
        <v>0</v>
      </c>
      <c r="AC220" s="30">
        <v>0</v>
      </c>
      <c r="AD220" s="30">
        <v>0</v>
      </c>
      <c r="AE220" s="30">
        <v>0</v>
      </c>
      <c r="AF220" s="30">
        <v>0</v>
      </c>
      <c r="AG220" s="30">
        <v>0</v>
      </c>
      <c r="AH220" s="30">
        <v>0</v>
      </c>
      <c r="AI220" s="30">
        <v>0</v>
      </c>
      <c r="AJ220" s="30">
        <v>0</v>
      </c>
      <c r="AK220" s="30">
        <v>0</v>
      </c>
      <c r="AL220" s="30">
        <v>0</v>
      </c>
      <c r="AM220" s="55">
        <f t="shared" si="31"/>
        <v>0</v>
      </c>
      <c r="AN220" s="55">
        <f t="shared" si="32"/>
        <v>0</v>
      </c>
      <c r="AO220" s="72"/>
      <c r="AP220" s="74" t="str">
        <f t="shared" si="33"/>
        <v/>
      </c>
      <c r="AQ220" s="74" t="str">
        <f t="shared" si="34"/>
        <v/>
      </c>
    </row>
    <row r="221" spans="1:43" ht="13.8" thickBot="1" x14ac:dyDescent="0.3">
      <c r="A221" s="68">
        <v>30</v>
      </c>
      <c r="B221" s="67" t="s">
        <v>993</v>
      </c>
      <c r="C221" s="69" t="s">
        <v>988</v>
      </c>
      <c r="D221" s="66" t="s">
        <v>219</v>
      </c>
      <c r="E221" s="66" t="s">
        <v>994</v>
      </c>
      <c r="F221" s="54"/>
      <c r="G221" s="54"/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  <c r="S221" s="30">
        <v>0</v>
      </c>
      <c r="T221" s="30">
        <v>0</v>
      </c>
      <c r="U221" s="30">
        <v>0</v>
      </c>
      <c r="V221" s="30">
        <v>0</v>
      </c>
      <c r="W221" s="30">
        <v>0</v>
      </c>
      <c r="X221" s="30">
        <v>0</v>
      </c>
      <c r="Y221" s="30">
        <v>0</v>
      </c>
      <c r="Z221" s="30">
        <v>0</v>
      </c>
      <c r="AA221" s="30">
        <v>0</v>
      </c>
      <c r="AB221" s="30">
        <v>0</v>
      </c>
      <c r="AC221" s="30">
        <v>0</v>
      </c>
      <c r="AD221" s="30">
        <v>0</v>
      </c>
      <c r="AE221" s="30">
        <v>0</v>
      </c>
      <c r="AF221" s="30">
        <v>0</v>
      </c>
      <c r="AG221" s="30">
        <v>0</v>
      </c>
      <c r="AH221" s="30">
        <v>0</v>
      </c>
      <c r="AI221" s="30">
        <v>0</v>
      </c>
      <c r="AJ221" s="30">
        <v>0</v>
      </c>
      <c r="AK221" s="30">
        <v>0</v>
      </c>
      <c r="AL221" s="30">
        <v>0</v>
      </c>
      <c r="AM221" s="55">
        <f t="shared" si="31"/>
        <v>0</v>
      </c>
      <c r="AN221" s="55">
        <f t="shared" si="32"/>
        <v>0</v>
      </c>
      <c r="AO221" s="72"/>
      <c r="AP221" s="74" t="str">
        <f t="shared" si="33"/>
        <v/>
      </c>
      <c r="AQ221" s="74" t="str">
        <f t="shared" si="34"/>
        <v/>
      </c>
    </row>
    <row r="222" spans="1:43" ht="13.8" thickBot="1" x14ac:dyDescent="0.3">
      <c r="A222" s="68">
        <v>31</v>
      </c>
      <c r="B222" s="67" t="s">
        <v>990</v>
      </c>
      <c r="C222" s="69" t="s">
        <v>989</v>
      </c>
      <c r="D222" s="66" t="s">
        <v>219</v>
      </c>
      <c r="E222" s="70" t="s">
        <v>13</v>
      </c>
      <c r="F222" s="54"/>
      <c r="G222" s="54"/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30">
        <v>0</v>
      </c>
      <c r="T222" s="30">
        <v>0</v>
      </c>
      <c r="U222" s="30">
        <v>0</v>
      </c>
      <c r="V222" s="30">
        <v>0</v>
      </c>
      <c r="W222" s="30">
        <v>0</v>
      </c>
      <c r="X222" s="30">
        <v>0</v>
      </c>
      <c r="Y222" s="30">
        <v>0</v>
      </c>
      <c r="Z222" s="30">
        <v>0</v>
      </c>
      <c r="AA222" s="30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0</v>
      </c>
      <c r="AG222" s="30">
        <v>0</v>
      </c>
      <c r="AH222" s="30">
        <v>0</v>
      </c>
      <c r="AI222" s="30">
        <v>0</v>
      </c>
      <c r="AJ222" s="30">
        <v>0</v>
      </c>
      <c r="AK222" s="30">
        <v>0</v>
      </c>
      <c r="AL222" s="30">
        <v>0</v>
      </c>
      <c r="AM222" s="55">
        <f t="shared" si="31"/>
        <v>0</v>
      </c>
      <c r="AN222" s="55">
        <f t="shared" si="32"/>
        <v>0</v>
      </c>
      <c r="AO222" s="72"/>
      <c r="AP222" s="74" t="str">
        <f t="shared" si="33"/>
        <v/>
      </c>
      <c r="AQ222" s="74" t="str">
        <f t="shared" si="34"/>
        <v/>
      </c>
    </row>
    <row r="223" spans="1:43" ht="13.8" thickBot="1" x14ac:dyDescent="0.3">
      <c r="A223" s="68">
        <v>32</v>
      </c>
      <c r="B223" s="67" t="s">
        <v>196</v>
      </c>
      <c r="C223" s="69" t="s">
        <v>991</v>
      </c>
      <c r="D223" s="66" t="s">
        <v>213</v>
      </c>
      <c r="E223" s="66" t="s">
        <v>197</v>
      </c>
      <c r="F223" s="54"/>
      <c r="G223" s="54"/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  <c r="V223" s="30">
        <v>0</v>
      </c>
      <c r="W223" s="30">
        <v>0</v>
      </c>
      <c r="X223" s="30">
        <v>0</v>
      </c>
      <c r="Y223" s="30">
        <v>0</v>
      </c>
      <c r="Z223" s="30">
        <v>0</v>
      </c>
      <c r="AA223" s="30">
        <v>0</v>
      </c>
      <c r="AB223" s="30">
        <v>0</v>
      </c>
      <c r="AC223" s="30">
        <v>0</v>
      </c>
      <c r="AD223" s="30">
        <v>0</v>
      </c>
      <c r="AE223" s="30">
        <v>0</v>
      </c>
      <c r="AF223" s="30">
        <v>0</v>
      </c>
      <c r="AG223" s="30">
        <v>0</v>
      </c>
      <c r="AH223" s="30">
        <v>0</v>
      </c>
      <c r="AI223" s="30">
        <v>0</v>
      </c>
      <c r="AJ223" s="30">
        <v>0</v>
      </c>
      <c r="AK223" s="30">
        <v>0</v>
      </c>
      <c r="AL223" s="30">
        <v>0</v>
      </c>
      <c r="AM223" s="55">
        <f t="shared" si="31"/>
        <v>0</v>
      </c>
      <c r="AN223" s="55">
        <f t="shared" si="32"/>
        <v>0</v>
      </c>
      <c r="AO223" s="72"/>
      <c r="AP223" s="74" t="str">
        <f t="shared" si="33"/>
        <v/>
      </c>
      <c r="AQ223" s="74" t="str">
        <f t="shared" si="34"/>
        <v/>
      </c>
    </row>
    <row r="224" spans="1:43" ht="13.8" thickBot="1" x14ac:dyDescent="0.3">
      <c r="A224" s="68">
        <v>33</v>
      </c>
      <c r="B224" s="67" t="s">
        <v>215</v>
      </c>
      <c r="C224" s="69" t="s">
        <v>992</v>
      </c>
      <c r="D224" s="66" t="s">
        <v>198</v>
      </c>
      <c r="E224" s="66" t="s">
        <v>206</v>
      </c>
      <c r="F224" s="54"/>
      <c r="G224" s="54"/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  <c r="V224" s="30">
        <v>0</v>
      </c>
      <c r="W224" s="30">
        <v>0</v>
      </c>
      <c r="X224" s="30">
        <v>0</v>
      </c>
      <c r="Y224" s="30">
        <v>0</v>
      </c>
      <c r="Z224" s="30">
        <v>0</v>
      </c>
      <c r="AA224" s="30">
        <v>0</v>
      </c>
      <c r="AB224" s="30">
        <v>0</v>
      </c>
      <c r="AC224" s="30">
        <v>0</v>
      </c>
      <c r="AD224" s="30">
        <v>0</v>
      </c>
      <c r="AE224" s="30">
        <v>0</v>
      </c>
      <c r="AF224" s="30">
        <v>0</v>
      </c>
      <c r="AG224" s="30">
        <v>0</v>
      </c>
      <c r="AH224" s="30">
        <v>0</v>
      </c>
      <c r="AI224" s="30">
        <v>0</v>
      </c>
      <c r="AJ224" s="30">
        <v>0</v>
      </c>
      <c r="AK224" s="30">
        <v>0</v>
      </c>
      <c r="AL224" s="30">
        <v>0</v>
      </c>
      <c r="AM224" s="55">
        <f t="shared" si="31"/>
        <v>0</v>
      </c>
      <c r="AN224" s="55">
        <f t="shared" si="32"/>
        <v>0</v>
      </c>
      <c r="AO224" s="72"/>
      <c r="AP224" s="74" t="str">
        <f t="shared" si="33"/>
        <v/>
      </c>
      <c r="AQ224" s="74" t="str">
        <f t="shared" si="34"/>
        <v/>
      </c>
    </row>
    <row r="225" spans="1:43" ht="13.8" thickBot="1" x14ac:dyDescent="0.3">
      <c r="A225" s="68">
        <v>34</v>
      </c>
      <c r="B225" s="67" t="s">
        <v>226</v>
      </c>
      <c r="C225" s="69" t="s">
        <v>992</v>
      </c>
      <c r="D225" s="66" t="s">
        <v>230</v>
      </c>
      <c r="E225" s="66" t="s">
        <v>227</v>
      </c>
      <c r="F225" s="54"/>
      <c r="G225" s="54"/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0</v>
      </c>
      <c r="Q225" s="30">
        <v>0</v>
      </c>
      <c r="R225" s="30">
        <v>0</v>
      </c>
      <c r="S225" s="30">
        <v>0</v>
      </c>
      <c r="T225" s="30">
        <v>0</v>
      </c>
      <c r="U225" s="30">
        <v>0</v>
      </c>
      <c r="V225" s="30">
        <v>0</v>
      </c>
      <c r="W225" s="30">
        <v>0</v>
      </c>
      <c r="X225" s="30">
        <v>0</v>
      </c>
      <c r="Y225" s="30">
        <v>0</v>
      </c>
      <c r="Z225" s="30">
        <v>0</v>
      </c>
      <c r="AA225" s="30">
        <v>0</v>
      </c>
      <c r="AB225" s="30">
        <v>0</v>
      </c>
      <c r="AC225" s="30">
        <v>0</v>
      </c>
      <c r="AD225" s="30">
        <v>0</v>
      </c>
      <c r="AE225" s="30">
        <v>0</v>
      </c>
      <c r="AF225" s="30">
        <v>0</v>
      </c>
      <c r="AG225" s="30">
        <v>0</v>
      </c>
      <c r="AH225" s="30">
        <v>0</v>
      </c>
      <c r="AI225" s="30">
        <v>0</v>
      </c>
      <c r="AJ225" s="30">
        <v>0</v>
      </c>
      <c r="AK225" s="30">
        <v>0</v>
      </c>
      <c r="AL225" s="30">
        <v>0</v>
      </c>
      <c r="AM225" s="55">
        <f t="shared" si="31"/>
        <v>0</v>
      </c>
      <c r="AN225" s="55">
        <f t="shared" si="32"/>
        <v>0</v>
      </c>
      <c r="AO225" s="72"/>
      <c r="AP225" s="74" t="str">
        <f t="shared" si="33"/>
        <v/>
      </c>
      <c r="AQ225" s="74" t="str">
        <f t="shared" si="34"/>
        <v/>
      </c>
    </row>
    <row r="226" spans="1:43" ht="13.8" thickBot="1" x14ac:dyDescent="0.3">
      <c r="A226" s="68">
        <v>35</v>
      </c>
      <c r="B226" s="67"/>
      <c r="C226" s="69"/>
      <c r="D226" s="66"/>
      <c r="E226" s="66"/>
      <c r="F226" s="54"/>
      <c r="G226" s="54"/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30">
        <v>0</v>
      </c>
      <c r="R226" s="30">
        <v>0</v>
      </c>
      <c r="S226" s="30">
        <v>0</v>
      </c>
      <c r="T226" s="30">
        <v>0</v>
      </c>
      <c r="U226" s="30">
        <v>0</v>
      </c>
      <c r="V226" s="30">
        <v>0</v>
      </c>
      <c r="W226" s="30">
        <v>0</v>
      </c>
      <c r="X226" s="30">
        <v>0</v>
      </c>
      <c r="Y226" s="30">
        <v>0</v>
      </c>
      <c r="Z226" s="30">
        <v>0</v>
      </c>
      <c r="AA226" s="30">
        <v>0</v>
      </c>
      <c r="AB226" s="30">
        <v>0</v>
      </c>
      <c r="AC226" s="30">
        <v>0</v>
      </c>
      <c r="AD226" s="30">
        <v>0</v>
      </c>
      <c r="AE226" s="30">
        <v>0</v>
      </c>
      <c r="AF226" s="30">
        <v>0</v>
      </c>
      <c r="AG226" s="30">
        <v>0</v>
      </c>
      <c r="AH226" s="30">
        <v>0</v>
      </c>
      <c r="AI226" s="30">
        <v>0</v>
      </c>
      <c r="AJ226" s="30">
        <v>0</v>
      </c>
      <c r="AK226" s="30">
        <v>0</v>
      </c>
      <c r="AL226" s="30">
        <v>0</v>
      </c>
      <c r="AM226" s="55">
        <f t="shared" si="31"/>
        <v>0</v>
      </c>
      <c r="AN226" s="55">
        <f t="shared" si="32"/>
        <v>0</v>
      </c>
      <c r="AO226" s="72"/>
      <c r="AP226" s="74" t="str">
        <f t="shared" si="33"/>
        <v/>
      </c>
      <c r="AQ226" s="74" t="str">
        <f t="shared" si="34"/>
        <v/>
      </c>
    </row>
    <row r="227" spans="1:43" ht="13.8" thickBot="1" x14ac:dyDescent="0.3">
      <c r="A227" s="68">
        <v>36</v>
      </c>
      <c r="B227" s="67"/>
      <c r="C227" s="69"/>
      <c r="D227" s="66"/>
      <c r="E227" s="66"/>
      <c r="F227" s="54"/>
      <c r="G227" s="54"/>
      <c r="H227" s="30">
        <v>0</v>
      </c>
      <c r="I227" s="30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0</v>
      </c>
      <c r="Q227" s="30">
        <v>0</v>
      </c>
      <c r="R227" s="30">
        <v>0</v>
      </c>
      <c r="S227" s="30">
        <v>0</v>
      </c>
      <c r="T227" s="30">
        <v>0</v>
      </c>
      <c r="U227" s="30">
        <v>0</v>
      </c>
      <c r="V227" s="30">
        <v>0</v>
      </c>
      <c r="W227" s="30">
        <v>0</v>
      </c>
      <c r="X227" s="30">
        <v>0</v>
      </c>
      <c r="Y227" s="30">
        <v>0</v>
      </c>
      <c r="Z227" s="30">
        <v>0</v>
      </c>
      <c r="AA227" s="30">
        <v>0</v>
      </c>
      <c r="AB227" s="30">
        <v>0</v>
      </c>
      <c r="AC227" s="30">
        <v>0</v>
      </c>
      <c r="AD227" s="30">
        <v>0</v>
      </c>
      <c r="AE227" s="30">
        <v>0</v>
      </c>
      <c r="AF227" s="30">
        <v>0</v>
      </c>
      <c r="AG227" s="30">
        <v>0</v>
      </c>
      <c r="AH227" s="30">
        <v>0</v>
      </c>
      <c r="AI227" s="30">
        <v>0</v>
      </c>
      <c r="AJ227" s="30">
        <v>0</v>
      </c>
      <c r="AK227" s="30">
        <v>0</v>
      </c>
      <c r="AL227" s="30">
        <v>0</v>
      </c>
      <c r="AM227" s="55">
        <f t="shared" si="31"/>
        <v>0</v>
      </c>
      <c r="AN227" s="55">
        <f t="shared" si="32"/>
        <v>0</v>
      </c>
      <c r="AO227" s="72"/>
      <c r="AP227" s="74" t="str">
        <f t="shared" si="33"/>
        <v/>
      </c>
      <c r="AQ227" s="74" t="str">
        <f t="shared" si="34"/>
        <v/>
      </c>
    </row>
    <row r="228" spans="1:43" ht="13.8" thickBot="1" x14ac:dyDescent="0.3">
      <c r="A228" s="68">
        <v>37</v>
      </c>
      <c r="B228" s="67"/>
      <c r="C228" s="69"/>
      <c r="D228" s="66"/>
      <c r="E228" s="66"/>
      <c r="F228" s="54"/>
      <c r="G228" s="54"/>
      <c r="H228" s="30">
        <v>0</v>
      </c>
      <c r="I228" s="30">
        <v>0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0">
        <v>0</v>
      </c>
      <c r="Q228" s="30">
        <v>0</v>
      </c>
      <c r="R228" s="30">
        <v>0</v>
      </c>
      <c r="S228" s="30">
        <v>0</v>
      </c>
      <c r="T228" s="30">
        <v>0</v>
      </c>
      <c r="U228" s="30">
        <v>0</v>
      </c>
      <c r="V228" s="30">
        <v>0</v>
      </c>
      <c r="W228" s="30">
        <v>0</v>
      </c>
      <c r="X228" s="30">
        <v>0</v>
      </c>
      <c r="Y228" s="30">
        <v>0</v>
      </c>
      <c r="Z228" s="30">
        <v>0</v>
      </c>
      <c r="AA228" s="30">
        <v>0</v>
      </c>
      <c r="AB228" s="30">
        <v>0</v>
      </c>
      <c r="AC228" s="30">
        <v>0</v>
      </c>
      <c r="AD228" s="30">
        <v>0</v>
      </c>
      <c r="AE228" s="30">
        <v>0</v>
      </c>
      <c r="AF228" s="30">
        <v>0</v>
      </c>
      <c r="AG228" s="30">
        <v>0</v>
      </c>
      <c r="AH228" s="30">
        <v>0</v>
      </c>
      <c r="AI228" s="30">
        <v>0</v>
      </c>
      <c r="AJ228" s="30">
        <v>0</v>
      </c>
      <c r="AK228" s="30">
        <v>0</v>
      </c>
      <c r="AL228" s="30">
        <v>0</v>
      </c>
      <c r="AM228" s="55">
        <f t="shared" si="31"/>
        <v>0</v>
      </c>
      <c r="AN228" s="55">
        <f t="shared" si="32"/>
        <v>0</v>
      </c>
      <c r="AO228" s="72"/>
      <c r="AP228" s="74" t="str">
        <f t="shared" si="33"/>
        <v/>
      </c>
      <c r="AQ228" s="74" t="str">
        <f t="shared" si="34"/>
        <v/>
      </c>
    </row>
    <row r="229" spans="1:43" ht="13.8" thickBot="1" x14ac:dyDescent="0.3">
      <c r="A229" s="68">
        <v>38</v>
      </c>
      <c r="B229" s="67"/>
      <c r="C229" s="69"/>
      <c r="D229" s="66"/>
      <c r="E229" s="66"/>
      <c r="F229" s="54"/>
      <c r="G229" s="54"/>
      <c r="H229" s="30">
        <v>0</v>
      </c>
      <c r="I229" s="30">
        <v>0</v>
      </c>
      <c r="J229" s="30">
        <v>0</v>
      </c>
      <c r="K229" s="30">
        <v>0</v>
      </c>
      <c r="L229" s="30">
        <v>0</v>
      </c>
      <c r="M229" s="30">
        <v>0</v>
      </c>
      <c r="N229" s="30">
        <v>0</v>
      </c>
      <c r="O229" s="30">
        <v>0</v>
      </c>
      <c r="P229" s="30">
        <v>0</v>
      </c>
      <c r="Q229" s="30">
        <v>0</v>
      </c>
      <c r="R229" s="30">
        <v>0</v>
      </c>
      <c r="S229" s="30">
        <v>0</v>
      </c>
      <c r="T229" s="30">
        <v>0</v>
      </c>
      <c r="U229" s="30">
        <v>0</v>
      </c>
      <c r="V229" s="30">
        <v>0</v>
      </c>
      <c r="W229" s="30">
        <v>0</v>
      </c>
      <c r="X229" s="30">
        <v>0</v>
      </c>
      <c r="Y229" s="30">
        <v>0</v>
      </c>
      <c r="Z229" s="30">
        <v>0</v>
      </c>
      <c r="AA229" s="30">
        <v>0</v>
      </c>
      <c r="AB229" s="30">
        <v>0</v>
      </c>
      <c r="AC229" s="30">
        <v>0</v>
      </c>
      <c r="AD229" s="30">
        <v>0</v>
      </c>
      <c r="AE229" s="30">
        <v>0</v>
      </c>
      <c r="AF229" s="30">
        <v>0</v>
      </c>
      <c r="AG229" s="30">
        <v>0</v>
      </c>
      <c r="AH229" s="30">
        <v>0</v>
      </c>
      <c r="AI229" s="30">
        <v>0</v>
      </c>
      <c r="AJ229" s="30">
        <v>0</v>
      </c>
      <c r="AK229" s="30">
        <v>0</v>
      </c>
      <c r="AL229" s="30">
        <v>0</v>
      </c>
      <c r="AM229" s="55">
        <f t="shared" si="31"/>
        <v>0</v>
      </c>
      <c r="AN229" s="55">
        <f t="shared" si="32"/>
        <v>0</v>
      </c>
      <c r="AO229" s="72"/>
      <c r="AP229" s="74" t="str">
        <f t="shared" si="33"/>
        <v/>
      </c>
      <c r="AQ229" s="74" t="str">
        <f t="shared" si="34"/>
        <v/>
      </c>
    </row>
    <row r="230" spans="1:43" ht="13.8" thickBot="1" x14ac:dyDescent="0.3">
      <c r="A230" s="68">
        <v>39</v>
      </c>
      <c r="B230" s="54"/>
      <c r="C230" s="54"/>
      <c r="D230" s="66"/>
      <c r="E230" s="66"/>
      <c r="F230" s="54"/>
      <c r="G230" s="54"/>
      <c r="H230" s="30">
        <v>0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30">
        <v>0</v>
      </c>
      <c r="V230" s="30">
        <v>0</v>
      </c>
      <c r="W230" s="30">
        <v>0</v>
      </c>
      <c r="X230" s="30">
        <v>0</v>
      </c>
      <c r="Y230" s="30">
        <v>0</v>
      </c>
      <c r="Z230" s="30">
        <v>0</v>
      </c>
      <c r="AA230" s="30">
        <v>0</v>
      </c>
      <c r="AB230" s="30">
        <v>0</v>
      </c>
      <c r="AC230" s="30">
        <v>0</v>
      </c>
      <c r="AD230" s="30">
        <v>0</v>
      </c>
      <c r="AE230" s="30">
        <v>0</v>
      </c>
      <c r="AF230" s="30">
        <v>0</v>
      </c>
      <c r="AG230" s="30">
        <v>0</v>
      </c>
      <c r="AH230" s="30">
        <v>0</v>
      </c>
      <c r="AI230" s="30">
        <v>0</v>
      </c>
      <c r="AJ230" s="30">
        <v>0</v>
      </c>
      <c r="AK230" s="30">
        <v>0</v>
      </c>
      <c r="AL230" s="30">
        <v>0</v>
      </c>
      <c r="AM230" s="55">
        <f t="shared" si="31"/>
        <v>0</v>
      </c>
      <c r="AN230" s="55">
        <f t="shared" si="32"/>
        <v>0</v>
      </c>
      <c r="AO230" s="72"/>
      <c r="AP230" s="74" t="str">
        <f t="shared" si="33"/>
        <v/>
      </c>
      <c r="AQ230" s="74" t="str">
        <f t="shared" si="34"/>
        <v/>
      </c>
    </row>
    <row r="231" spans="1:43" ht="18.600000000000001" customHeight="1" thickBot="1" x14ac:dyDescent="0.3">
      <c r="A231" s="92"/>
      <c r="B231" s="93"/>
      <c r="C231" s="42"/>
      <c r="D231" s="42"/>
      <c r="E231" s="42"/>
      <c r="F231" s="42"/>
      <c r="G231" s="42"/>
      <c r="H231" s="55">
        <f t="shared" ref="H231:AN231" si="35">SUM(H191:H230)</f>
        <v>0</v>
      </c>
      <c r="I231" s="55">
        <f t="shared" si="35"/>
        <v>0</v>
      </c>
      <c r="J231" s="55">
        <f t="shared" si="35"/>
        <v>0</v>
      </c>
      <c r="K231" s="55">
        <f t="shared" si="35"/>
        <v>0</v>
      </c>
      <c r="L231" s="55">
        <f t="shared" si="35"/>
        <v>0</v>
      </c>
      <c r="M231" s="55">
        <f t="shared" si="35"/>
        <v>0</v>
      </c>
      <c r="N231" s="55">
        <f t="shared" si="35"/>
        <v>0</v>
      </c>
      <c r="O231" s="55">
        <f t="shared" si="35"/>
        <v>0</v>
      </c>
      <c r="P231" s="55">
        <f t="shared" si="35"/>
        <v>0</v>
      </c>
      <c r="Q231" s="55">
        <f t="shared" si="35"/>
        <v>0</v>
      </c>
      <c r="R231" s="55">
        <f t="shared" si="35"/>
        <v>0</v>
      </c>
      <c r="S231" s="55">
        <f t="shared" si="35"/>
        <v>0</v>
      </c>
      <c r="T231" s="55">
        <f t="shared" si="35"/>
        <v>0</v>
      </c>
      <c r="U231" s="55">
        <f t="shared" si="35"/>
        <v>0</v>
      </c>
      <c r="V231" s="55">
        <f t="shared" si="35"/>
        <v>0</v>
      </c>
      <c r="W231" s="55">
        <f t="shared" si="35"/>
        <v>0</v>
      </c>
      <c r="X231" s="55">
        <f t="shared" si="35"/>
        <v>0</v>
      </c>
      <c r="Y231" s="55">
        <f t="shared" si="35"/>
        <v>0</v>
      </c>
      <c r="Z231" s="55">
        <f t="shared" si="35"/>
        <v>0</v>
      </c>
      <c r="AA231" s="55">
        <f t="shared" si="35"/>
        <v>0</v>
      </c>
      <c r="AB231" s="55">
        <f t="shared" si="35"/>
        <v>0</v>
      </c>
      <c r="AC231" s="55">
        <f t="shared" si="35"/>
        <v>0</v>
      </c>
      <c r="AD231" s="55">
        <f t="shared" si="35"/>
        <v>0</v>
      </c>
      <c r="AE231" s="55">
        <f t="shared" si="35"/>
        <v>0</v>
      </c>
      <c r="AF231" s="55">
        <f t="shared" si="35"/>
        <v>0</v>
      </c>
      <c r="AG231" s="55">
        <f t="shared" si="35"/>
        <v>0</v>
      </c>
      <c r="AH231" s="55">
        <f t="shared" si="35"/>
        <v>0</v>
      </c>
      <c r="AI231" s="55">
        <f t="shared" si="35"/>
        <v>0</v>
      </c>
      <c r="AJ231" s="55">
        <f t="shared" si="35"/>
        <v>0</v>
      </c>
      <c r="AK231" s="55">
        <f t="shared" si="35"/>
        <v>0</v>
      </c>
      <c r="AL231" s="55">
        <f t="shared" si="35"/>
        <v>0</v>
      </c>
      <c r="AM231" s="30">
        <f t="shared" si="35"/>
        <v>0</v>
      </c>
      <c r="AN231" s="30">
        <f t="shared" si="35"/>
        <v>0</v>
      </c>
    </row>
    <row r="233" spans="1:43" ht="18" customHeight="1" x14ac:dyDescent="0.25">
      <c r="A233" s="92" t="s">
        <v>174</v>
      </c>
      <c r="B233" s="93"/>
      <c r="C233" s="42"/>
      <c r="D233" s="42"/>
      <c r="E233" s="42"/>
      <c r="F233" s="42"/>
      <c r="G233" s="42"/>
      <c r="H233" s="111">
        <v>45809</v>
      </c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12"/>
      <c r="AG233" s="112"/>
      <c r="AH233" s="112"/>
      <c r="AI233" s="112"/>
      <c r="AJ233" s="112"/>
      <c r="AK233" s="112"/>
      <c r="AL233" s="112"/>
      <c r="AM233" s="140" t="s">
        <v>954</v>
      </c>
      <c r="AN233" s="146" t="s">
        <v>953</v>
      </c>
      <c r="AO233" s="148" t="s">
        <v>955</v>
      </c>
      <c r="AP233" s="144" t="s">
        <v>958</v>
      </c>
      <c r="AQ233" s="144"/>
    </row>
    <row r="234" spans="1:43" ht="34.200000000000003" customHeight="1" thickBot="1" x14ac:dyDescent="0.3">
      <c r="A234" s="138" t="s">
        <v>948</v>
      </c>
      <c r="B234" s="138" t="s">
        <v>947</v>
      </c>
      <c r="C234" s="138" t="s">
        <v>959</v>
      </c>
      <c r="D234" s="138" t="s">
        <v>949</v>
      </c>
      <c r="E234" s="138"/>
      <c r="F234" s="154" t="s">
        <v>192</v>
      </c>
      <c r="G234" s="142" t="s">
        <v>193</v>
      </c>
      <c r="H234" s="45">
        <v>1</v>
      </c>
      <c r="I234" s="45">
        <v>2</v>
      </c>
      <c r="J234" s="45">
        <v>3</v>
      </c>
      <c r="K234" s="45">
        <v>4</v>
      </c>
      <c r="L234" s="45">
        <v>5</v>
      </c>
      <c r="M234" s="45">
        <v>6</v>
      </c>
      <c r="N234" s="45">
        <v>7</v>
      </c>
      <c r="O234" s="45">
        <v>8</v>
      </c>
      <c r="P234" s="45">
        <v>9</v>
      </c>
      <c r="Q234" s="45">
        <v>10</v>
      </c>
      <c r="R234" s="45">
        <v>11</v>
      </c>
      <c r="S234" s="45">
        <v>12</v>
      </c>
      <c r="T234" s="45">
        <v>13</v>
      </c>
      <c r="U234" s="45">
        <v>14</v>
      </c>
      <c r="V234" s="45">
        <v>15</v>
      </c>
      <c r="W234" s="45">
        <v>16</v>
      </c>
      <c r="X234" s="45">
        <v>17</v>
      </c>
      <c r="Y234" s="45">
        <v>18</v>
      </c>
      <c r="Z234" s="45">
        <v>19</v>
      </c>
      <c r="AA234" s="45">
        <v>20</v>
      </c>
      <c r="AB234" s="45">
        <v>21</v>
      </c>
      <c r="AC234" s="45">
        <v>22</v>
      </c>
      <c r="AD234" s="45">
        <v>23</v>
      </c>
      <c r="AE234" s="45">
        <v>24</v>
      </c>
      <c r="AF234" s="45">
        <v>25</v>
      </c>
      <c r="AG234" s="45">
        <v>26</v>
      </c>
      <c r="AH234" s="45">
        <v>27</v>
      </c>
      <c r="AI234" s="45">
        <v>28</v>
      </c>
      <c r="AJ234" s="45">
        <v>29</v>
      </c>
      <c r="AK234" s="45">
        <v>30</v>
      </c>
      <c r="AL234" s="45"/>
      <c r="AM234" s="140"/>
      <c r="AN234" s="146"/>
      <c r="AO234" s="148"/>
      <c r="AP234" s="150" t="s">
        <v>956</v>
      </c>
      <c r="AQ234" s="152" t="s">
        <v>957</v>
      </c>
    </row>
    <row r="235" spans="1:43" ht="13.8" thickBot="1" x14ac:dyDescent="0.3">
      <c r="A235" s="139"/>
      <c r="B235" s="139"/>
      <c r="C235" s="145"/>
      <c r="D235" s="64" t="s">
        <v>950</v>
      </c>
      <c r="E235" s="64" t="s">
        <v>951</v>
      </c>
      <c r="F235" s="155"/>
      <c r="G235" s="143"/>
      <c r="H235" s="28" t="s">
        <v>183</v>
      </c>
      <c r="I235" s="28" t="s">
        <v>179</v>
      </c>
      <c r="J235" s="28" t="s">
        <v>24</v>
      </c>
      <c r="K235" s="28" t="s">
        <v>24</v>
      </c>
      <c r="L235" s="28" t="s">
        <v>180</v>
      </c>
      <c r="M235" s="28" t="s">
        <v>181</v>
      </c>
      <c r="N235" s="28" t="s">
        <v>182</v>
      </c>
      <c r="O235" s="28" t="s">
        <v>183</v>
      </c>
      <c r="P235" s="28" t="s">
        <v>179</v>
      </c>
      <c r="Q235" s="28" t="s">
        <v>24</v>
      </c>
      <c r="R235" s="28" t="s">
        <v>24</v>
      </c>
      <c r="S235" s="28" t="s">
        <v>180</v>
      </c>
      <c r="T235" s="28" t="s">
        <v>181</v>
      </c>
      <c r="U235" s="28" t="s">
        <v>182</v>
      </c>
      <c r="V235" s="28" t="s">
        <v>183</v>
      </c>
      <c r="W235" s="28" t="s">
        <v>179</v>
      </c>
      <c r="X235" s="28" t="s">
        <v>24</v>
      </c>
      <c r="Y235" s="28" t="s">
        <v>24</v>
      </c>
      <c r="Z235" s="28" t="s">
        <v>180</v>
      </c>
      <c r="AA235" s="28" t="s">
        <v>181</v>
      </c>
      <c r="AB235" s="28" t="s">
        <v>182</v>
      </c>
      <c r="AC235" s="28" t="s">
        <v>183</v>
      </c>
      <c r="AD235" s="28" t="s">
        <v>179</v>
      </c>
      <c r="AE235" s="28" t="s">
        <v>24</v>
      </c>
      <c r="AF235" s="28" t="s">
        <v>24</v>
      </c>
      <c r="AG235" s="28" t="s">
        <v>180</v>
      </c>
      <c r="AH235" s="28" t="s">
        <v>181</v>
      </c>
      <c r="AI235" s="28" t="s">
        <v>182</v>
      </c>
      <c r="AJ235" s="28" t="s">
        <v>183</v>
      </c>
      <c r="AK235" s="28" t="s">
        <v>179</v>
      </c>
      <c r="AL235" s="28"/>
      <c r="AM235" s="141"/>
      <c r="AN235" s="147"/>
      <c r="AO235" s="149"/>
      <c r="AP235" s="151"/>
      <c r="AQ235" s="153"/>
    </row>
    <row r="236" spans="1:43" ht="13.8" thickBot="1" x14ac:dyDescent="0.3">
      <c r="A236" s="68">
        <v>1</v>
      </c>
      <c r="B236" s="67" t="s">
        <v>965</v>
      </c>
      <c r="C236" s="66" t="s">
        <v>960</v>
      </c>
      <c r="D236" s="66" t="s">
        <v>213</v>
      </c>
      <c r="E236" s="69" t="s">
        <v>197</v>
      </c>
      <c r="F236" s="54"/>
      <c r="G236" s="54"/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30">
        <v>0</v>
      </c>
      <c r="V236" s="30">
        <v>0</v>
      </c>
      <c r="W236" s="30">
        <v>0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0</v>
      </c>
      <c r="AF236" s="30">
        <v>0</v>
      </c>
      <c r="AG236" s="30">
        <v>0</v>
      </c>
      <c r="AH236" s="30">
        <v>0</v>
      </c>
      <c r="AI236" s="30">
        <v>0</v>
      </c>
      <c r="AJ236" s="30">
        <v>0</v>
      </c>
      <c r="AK236" s="30">
        <v>0</v>
      </c>
      <c r="AL236" s="30"/>
      <c r="AM236" s="55">
        <f>SUM(H236:AL236)</f>
        <v>0</v>
      </c>
      <c r="AN236" s="55">
        <f>F236+G236-AM236</f>
        <v>0</v>
      </c>
      <c r="AO236" s="72"/>
      <c r="AP236" s="74" t="str">
        <f>IF(AO236="","",IF($A$2&lt;=AO236,IF((AO236-$A$2)&lt;=90,"ALERTA","A TIEMPO"),"CADUCADO"))</f>
        <v/>
      </c>
      <c r="AQ236" s="74" t="str">
        <f>IF(AO236="","",AO236-$A$2)</f>
        <v/>
      </c>
    </row>
    <row r="237" spans="1:43" ht="13.8" thickBot="1" x14ac:dyDescent="0.3">
      <c r="A237" s="68">
        <v>2</v>
      </c>
      <c r="B237" s="67" t="s">
        <v>965</v>
      </c>
      <c r="C237" s="66" t="s">
        <v>960</v>
      </c>
      <c r="D237" s="66" t="s">
        <v>224</v>
      </c>
      <c r="E237" s="71">
        <v>0.01</v>
      </c>
      <c r="F237" s="54"/>
      <c r="G237" s="54"/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0</v>
      </c>
      <c r="U237" s="30">
        <v>0</v>
      </c>
      <c r="V237" s="30">
        <v>0</v>
      </c>
      <c r="W237" s="30">
        <v>0</v>
      </c>
      <c r="X237" s="30">
        <v>0</v>
      </c>
      <c r="Y237" s="30">
        <v>0</v>
      </c>
      <c r="Z237" s="30">
        <v>0</v>
      </c>
      <c r="AA237" s="30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0</v>
      </c>
      <c r="AG237" s="30">
        <v>0</v>
      </c>
      <c r="AH237" s="30">
        <v>0</v>
      </c>
      <c r="AI237" s="30">
        <v>0</v>
      </c>
      <c r="AJ237" s="30">
        <v>0</v>
      </c>
      <c r="AK237" s="30">
        <v>0</v>
      </c>
      <c r="AL237" s="30"/>
      <c r="AM237" s="55">
        <f t="shared" ref="AM237:AM275" si="36">SUM(H237:AL237)</f>
        <v>0</v>
      </c>
      <c r="AN237" s="55">
        <f t="shared" ref="AN237:AN275" si="37">F237+G237-AM237</f>
        <v>0</v>
      </c>
      <c r="AO237" s="72"/>
      <c r="AP237" s="74" t="str">
        <f t="shared" ref="AP237:AP275" si="38">IF(AO237="","",IF($A$2&lt;=AO237,IF((AO237-$A$2)&lt;=90,"ALERTA","A TIEMPO"),"CADUCADO"))</f>
        <v/>
      </c>
      <c r="AQ237" s="74" t="str">
        <f t="shared" ref="AQ237:AQ275" si="39">IF(AO237="","",AO237-$A$2)</f>
        <v/>
      </c>
    </row>
    <row r="238" spans="1:43" ht="13.8" thickBot="1" x14ac:dyDescent="0.3">
      <c r="A238" s="68">
        <v>3</v>
      </c>
      <c r="B238" s="67" t="s">
        <v>211</v>
      </c>
      <c r="C238" s="66" t="s">
        <v>960</v>
      </c>
      <c r="D238" s="66" t="s">
        <v>198</v>
      </c>
      <c r="E238" s="69" t="s">
        <v>964</v>
      </c>
      <c r="F238" s="54"/>
      <c r="G238" s="54"/>
      <c r="H238" s="30">
        <v>0</v>
      </c>
      <c r="I238" s="30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0</v>
      </c>
      <c r="S238" s="30">
        <v>0</v>
      </c>
      <c r="T238" s="30">
        <v>0</v>
      </c>
      <c r="U238" s="30">
        <v>0</v>
      </c>
      <c r="V238" s="30">
        <v>0</v>
      </c>
      <c r="W238" s="30">
        <v>0</v>
      </c>
      <c r="X238" s="30">
        <v>0</v>
      </c>
      <c r="Y238" s="30">
        <v>0</v>
      </c>
      <c r="Z238" s="30">
        <v>0</v>
      </c>
      <c r="AA238" s="30">
        <v>0</v>
      </c>
      <c r="AB238" s="30">
        <v>0</v>
      </c>
      <c r="AC238" s="30">
        <v>0</v>
      </c>
      <c r="AD238" s="30">
        <v>0</v>
      </c>
      <c r="AE238" s="30">
        <v>0</v>
      </c>
      <c r="AF238" s="30">
        <v>0</v>
      </c>
      <c r="AG238" s="30">
        <v>0</v>
      </c>
      <c r="AH238" s="30">
        <v>0</v>
      </c>
      <c r="AI238" s="30">
        <v>0</v>
      </c>
      <c r="AJ238" s="30">
        <v>0</v>
      </c>
      <c r="AK238" s="30">
        <v>0</v>
      </c>
      <c r="AL238" s="30"/>
      <c r="AM238" s="55">
        <f t="shared" si="36"/>
        <v>0</v>
      </c>
      <c r="AN238" s="55">
        <f t="shared" si="37"/>
        <v>0</v>
      </c>
      <c r="AO238" s="72"/>
      <c r="AP238" s="74" t="str">
        <f t="shared" si="38"/>
        <v/>
      </c>
      <c r="AQ238" s="74" t="str">
        <f t="shared" si="39"/>
        <v/>
      </c>
    </row>
    <row r="239" spans="1:43" ht="13.8" thickBot="1" x14ac:dyDescent="0.3">
      <c r="A239" s="68">
        <v>4</v>
      </c>
      <c r="B239" s="67" t="s">
        <v>985</v>
      </c>
      <c r="C239" s="66" t="s">
        <v>960</v>
      </c>
      <c r="D239" s="66" t="s">
        <v>198</v>
      </c>
      <c r="E239" s="70" t="s">
        <v>986</v>
      </c>
      <c r="F239" s="54"/>
      <c r="G239" s="54"/>
      <c r="H239" s="30">
        <v>0</v>
      </c>
      <c r="I239" s="30">
        <v>0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O239" s="30">
        <v>0</v>
      </c>
      <c r="P239" s="30">
        <v>0</v>
      </c>
      <c r="Q239" s="30">
        <v>0</v>
      </c>
      <c r="R239" s="30">
        <v>0</v>
      </c>
      <c r="S239" s="30">
        <v>0</v>
      </c>
      <c r="T239" s="30">
        <v>0</v>
      </c>
      <c r="U239" s="30">
        <v>0</v>
      </c>
      <c r="V239" s="30">
        <v>0</v>
      </c>
      <c r="W239" s="30">
        <v>0</v>
      </c>
      <c r="X239" s="30">
        <v>0</v>
      </c>
      <c r="Y239" s="30">
        <v>0</v>
      </c>
      <c r="Z239" s="30">
        <v>0</v>
      </c>
      <c r="AA239" s="30">
        <v>0</v>
      </c>
      <c r="AB239" s="30">
        <v>0</v>
      </c>
      <c r="AC239" s="30">
        <v>0</v>
      </c>
      <c r="AD239" s="30">
        <v>0</v>
      </c>
      <c r="AE239" s="30">
        <v>0</v>
      </c>
      <c r="AF239" s="30">
        <v>0</v>
      </c>
      <c r="AG239" s="30">
        <v>0</v>
      </c>
      <c r="AH239" s="30">
        <v>0</v>
      </c>
      <c r="AI239" s="30">
        <v>0</v>
      </c>
      <c r="AJ239" s="30">
        <v>0</v>
      </c>
      <c r="AK239" s="30">
        <v>0</v>
      </c>
      <c r="AL239" s="30"/>
      <c r="AM239" s="55">
        <f t="shared" si="36"/>
        <v>0</v>
      </c>
      <c r="AN239" s="55">
        <f t="shared" si="37"/>
        <v>0</v>
      </c>
      <c r="AO239" s="72"/>
      <c r="AP239" s="74" t="str">
        <f t="shared" si="38"/>
        <v/>
      </c>
      <c r="AQ239" s="74" t="str">
        <f t="shared" si="39"/>
        <v/>
      </c>
    </row>
    <row r="240" spans="1:43" ht="13.8" thickBot="1" x14ac:dyDescent="0.3">
      <c r="A240" s="68">
        <v>4</v>
      </c>
      <c r="B240" s="67" t="s">
        <v>963</v>
      </c>
      <c r="C240" s="66" t="s">
        <v>960</v>
      </c>
      <c r="D240" s="66" t="s">
        <v>213</v>
      </c>
      <c r="E240" s="70" t="s">
        <v>13</v>
      </c>
      <c r="F240" s="54"/>
      <c r="G240" s="54"/>
      <c r="H240" s="30">
        <v>0</v>
      </c>
      <c r="I240" s="30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30">
        <v>0</v>
      </c>
      <c r="R240" s="30">
        <v>0</v>
      </c>
      <c r="S240" s="30">
        <v>0</v>
      </c>
      <c r="T240" s="30">
        <v>0</v>
      </c>
      <c r="U240" s="30">
        <v>0</v>
      </c>
      <c r="V240" s="30">
        <v>0</v>
      </c>
      <c r="W240" s="30">
        <v>0</v>
      </c>
      <c r="X240" s="30">
        <v>0</v>
      </c>
      <c r="Y240" s="30">
        <v>0</v>
      </c>
      <c r="Z240" s="30">
        <v>0</v>
      </c>
      <c r="AA240" s="30">
        <v>0</v>
      </c>
      <c r="AB240" s="30">
        <v>0</v>
      </c>
      <c r="AC240" s="30">
        <v>0</v>
      </c>
      <c r="AD240" s="30">
        <v>0</v>
      </c>
      <c r="AE240" s="30">
        <v>0</v>
      </c>
      <c r="AF240" s="30">
        <v>0</v>
      </c>
      <c r="AG240" s="30">
        <v>0</v>
      </c>
      <c r="AH240" s="30">
        <v>0</v>
      </c>
      <c r="AI240" s="30">
        <v>0</v>
      </c>
      <c r="AJ240" s="30">
        <v>0</v>
      </c>
      <c r="AK240" s="30">
        <v>0</v>
      </c>
      <c r="AL240" s="30"/>
      <c r="AM240" s="55">
        <f t="shared" si="36"/>
        <v>0</v>
      </c>
      <c r="AN240" s="55">
        <f t="shared" si="37"/>
        <v>0</v>
      </c>
      <c r="AO240" s="72"/>
      <c r="AP240" s="74" t="str">
        <f t="shared" si="38"/>
        <v/>
      </c>
      <c r="AQ240" s="74" t="str">
        <f t="shared" si="39"/>
        <v/>
      </c>
    </row>
    <row r="241" spans="1:43" ht="13.8" thickBot="1" x14ac:dyDescent="0.3">
      <c r="A241" s="68">
        <v>5</v>
      </c>
      <c r="B241" s="67" t="s">
        <v>228</v>
      </c>
      <c r="C241" s="66" t="s">
        <v>960</v>
      </c>
      <c r="D241" s="66" t="s">
        <v>213</v>
      </c>
      <c r="E241" s="69" t="s">
        <v>229</v>
      </c>
      <c r="F241" s="54"/>
      <c r="G241" s="54"/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0</v>
      </c>
      <c r="Q241" s="30">
        <v>0</v>
      </c>
      <c r="R241" s="30">
        <v>0</v>
      </c>
      <c r="S241" s="30">
        <v>0</v>
      </c>
      <c r="T241" s="30">
        <v>0</v>
      </c>
      <c r="U241" s="30">
        <v>0</v>
      </c>
      <c r="V241" s="30">
        <v>0</v>
      </c>
      <c r="W241" s="30">
        <v>0</v>
      </c>
      <c r="X241" s="30">
        <v>0</v>
      </c>
      <c r="Y241" s="30">
        <v>0</v>
      </c>
      <c r="Z241" s="30">
        <v>0</v>
      </c>
      <c r="AA241" s="30">
        <v>0</v>
      </c>
      <c r="AB241" s="30">
        <v>0</v>
      </c>
      <c r="AC241" s="30">
        <v>0</v>
      </c>
      <c r="AD241" s="30">
        <v>0</v>
      </c>
      <c r="AE241" s="30">
        <v>0</v>
      </c>
      <c r="AF241" s="30">
        <v>0</v>
      </c>
      <c r="AG241" s="30">
        <v>0</v>
      </c>
      <c r="AH241" s="30">
        <v>0</v>
      </c>
      <c r="AI241" s="30">
        <v>0</v>
      </c>
      <c r="AJ241" s="30">
        <v>0</v>
      </c>
      <c r="AK241" s="30">
        <v>0</v>
      </c>
      <c r="AL241" s="30"/>
      <c r="AM241" s="55">
        <f t="shared" si="36"/>
        <v>0</v>
      </c>
      <c r="AN241" s="55">
        <f t="shared" si="37"/>
        <v>0</v>
      </c>
      <c r="AO241" s="72"/>
      <c r="AP241" s="74" t="str">
        <f t="shared" si="38"/>
        <v/>
      </c>
      <c r="AQ241" s="74" t="str">
        <f t="shared" si="39"/>
        <v/>
      </c>
    </row>
    <row r="242" spans="1:43" ht="13.8" thickBot="1" x14ac:dyDescent="0.3">
      <c r="A242" s="68">
        <v>6</v>
      </c>
      <c r="B242" s="67" t="s">
        <v>968</v>
      </c>
      <c r="C242" s="66" t="s">
        <v>960</v>
      </c>
      <c r="D242" s="66" t="s">
        <v>198</v>
      </c>
      <c r="E242" s="69" t="s">
        <v>199</v>
      </c>
      <c r="F242" s="54"/>
      <c r="G242" s="54"/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0">
        <v>0</v>
      </c>
      <c r="Q242" s="30">
        <v>0</v>
      </c>
      <c r="R242" s="30">
        <v>0</v>
      </c>
      <c r="S242" s="30">
        <v>0</v>
      </c>
      <c r="T242" s="30">
        <v>0</v>
      </c>
      <c r="U242" s="30">
        <v>0</v>
      </c>
      <c r="V242" s="30">
        <v>0</v>
      </c>
      <c r="W242" s="30">
        <v>0</v>
      </c>
      <c r="X242" s="30">
        <v>0</v>
      </c>
      <c r="Y242" s="30">
        <v>0</v>
      </c>
      <c r="Z242" s="30">
        <v>0</v>
      </c>
      <c r="AA242" s="30">
        <v>0</v>
      </c>
      <c r="AB242" s="30">
        <v>0</v>
      </c>
      <c r="AC242" s="30">
        <v>0</v>
      </c>
      <c r="AD242" s="30">
        <v>0</v>
      </c>
      <c r="AE242" s="30">
        <v>0</v>
      </c>
      <c r="AF242" s="30">
        <v>0</v>
      </c>
      <c r="AG242" s="30">
        <v>0</v>
      </c>
      <c r="AH242" s="30">
        <v>0</v>
      </c>
      <c r="AI242" s="30">
        <v>0</v>
      </c>
      <c r="AJ242" s="30">
        <v>0</v>
      </c>
      <c r="AK242" s="30">
        <v>0</v>
      </c>
      <c r="AL242" s="30"/>
      <c r="AM242" s="55">
        <f t="shared" si="36"/>
        <v>0</v>
      </c>
      <c r="AN242" s="55">
        <f t="shared" si="37"/>
        <v>0</v>
      </c>
      <c r="AO242" s="72"/>
      <c r="AP242" s="74" t="str">
        <f t="shared" si="38"/>
        <v/>
      </c>
      <c r="AQ242" s="74" t="str">
        <f t="shared" si="39"/>
        <v/>
      </c>
    </row>
    <row r="243" spans="1:43" ht="13.8" thickBot="1" x14ac:dyDescent="0.3">
      <c r="A243" s="68">
        <v>7</v>
      </c>
      <c r="B243" s="67" t="s">
        <v>220</v>
      </c>
      <c r="C243" s="66" t="s">
        <v>960</v>
      </c>
      <c r="D243" s="66" t="s">
        <v>198</v>
      </c>
      <c r="E243" s="69" t="s">
        <v>195</v>
      </c>
      <c r="F243" s="54"/>
      <c r="G243" s="54"/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0">
        <v>0</v>
      </c>
      <c r="T243" s="30">
        <v>0</v>
      </c>
      <c r="U243" s="30">
        <v>0</v>
      </c>
      <c r="V243" s="30">
        <v>0</v>
      </c>
      <c r="W243" s="30">
        <v>0</v>
      </c>
      <c r="X243" s="30">
        <v>0</v>
      </c>
      <c r="Y243" s="30">
        <v>0</v>
      </c>
      <c r="Z243" s="30">
        <v>0</v>
      </c>
      <c r="AA243" s="30">
        <v>0</v>
      </c>
      <c r="AB243" s="30">
        <v>0</v>
      </c>
      <c r="AC243" s="30">
        <v>0</v>
      </c>
      <c r="AD243" s="30">
        <v>0</v>
      </c>
      <c r="AE243" s="30">
        <v>0</v>
      </c>
      <c r="AF243" s="30">
        <v>0</v>
      </c>
      <c r="AG243" s="30">
        <v>0</v>
      </c>
      <c r="AH243" s="30">
        <v>0</v>
      </c>
      <c r="AI243" s="30">
        <v>0</v>
      </c>
      <c r="AJ243" s="30">
        <v>0</v>
      </c>
      <c r="AK243" s="30">
        <v>0</v>
      </c>
      <c r="AL243" s="30"/>
      <c r="AM243" s="55">
        <f t="shared" si="36"/>
        <v>0</v>
      </c>
      <c r="AN243" s="55">
        <f t="shared" si="37"/>
        <v>0</v>
      </c>
      <c r="AO243" s="72"/>
      <c r="AP243" s="74" t="str">
        <f t="shared" si="38"/>
        <v/>
      </c>
      <c r="AQ243" s="74" t="str">
        <f t="shared" si="39"/>
        <v/>
      </c>
    </row>
    <row r="244" spans="1:43" ht="13.8" thickBot="1" x14ac:dyDescent="0.3">
      <c r="A244" s="68">
        <v>8</v>
      </c>
      <c r="B244" s="67" t="s">
        <v>962</v>
      </c>
      <c r="C244" s="66" t="s">
        <v>960</v>
      </c>
      <c r="D244" s="66" t="s">
        <v>198</v>
      </c>
      <c r="E244" s="69" t="s">
        <v>961</v>
      </c>
      <c r="F244" s="54"/>
      <c r="G244" s="54"/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  <c r="V244" s="30">
        <v>0</v>
      </c>
      <c r="W244" s="30">
        <v>0</v>
      </c>
      <c r="X244" s="30">
        <v>0</v>
      </c>
      <c r="Y244" s="30">
        <v>0</v>
      </c>
      <c r="Z244" s="30">
        <v>0</v>
      </c>
      <c r="AA244" s="30">
        <v>0</v>
      </c>
      <c r="AB244" s="30">
        <v>0</v>
      </c>
      <c r="AC244" s="30">
        <v>0</v>
      </c>
      <c r="AD244" s="30">
        <v>0</v>
      </c>
      <c r="AE244" s="30">
        <v>0</v>
      </c>
      <c r="AF244" s="30">
        <v>0</v>
      </c>
      <c r="AG244" s="30">
        <v>0</v>
      </c>
      <c r="AH244" s="30">
        <v>0</v>
      </c>
      <c r="AI244" s="30">
        <v>0</v>
      </c>
      <c r="AJ244" s="30">
        <v>0</v>
      </c>
      <c r="AK244" s="30">
        <v>0</v>
      </c>
      <c r="AL244" s="30"/>
      <c r="AM244" s="55">
        <f t="shared" si="36"/>
        <v>0</v>
      </c>
      <c r="AN244" s="55">
        <f t="shared" si="37"/>
        <v>0</v>
      </c>
      <c r="AO244" s="72"/>
      <c r="AP244" s="74" t="str">
        <f t="shared" si="38"/>
        <v/>
      </c>
      <c r="AQ244" s="74" t="str">
        <f t="shared" si="39"/>
        <v/>
      </c>
    </row>
    <row r="245" spans="1:43" ht="13.8" thickBot="1" x14ac:dyDescent="0.3">
      <c r="A245" s="68">
        <v>9</v>
      </c>
      <c r="B245" s="67" t="s">
        <v>966</v>
      </c>
      <c r="C245" s="66" t="s">
        <v>960</v>
      </c>
      <c r="D245" s="66" t="s">
        <v>201</v>
      </c>
      <c r="E245" s="69" t="s">
        <v>967</v>
      </c>
      <c r="F245" s="54"/>
      <c r="G245" s="54"/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30">
        <v>0</v>
      </c>
      <c r="AA245" s="30">
        <v>0</v>
      </c>
      <c r="AB245" s="30">
        <v>0</v>
      </c>
      <c r="AC245" s="30">
        <v>0</v>
      </c>
      <c r="AD245" s="30">
        <v>0</v>
      </c>
      <c r="AE245" s="30">
        <v>0</v>
      </c>
      <c r="AF245" s="30">
        <v>0</v>
      </c>
      <c r="AG245" s="30">
        <v>0</v>
      </c>
      <c r="AH245" s="30">
        <v>0</v>
      </c>
      <c r="AI245" s="30">
        <v>0</v>
      </c>
      <c r="AJ245" s="30">
        <v>0</v>
      </c>
      <c r="AK245" s="30">
        <v>0</v>
      </c>
      <c r="AL245" s="30"/>
      <c r="AM245" s="55">
        <f t="shared" si="36"/>
        <v>0</v>
      </c>
      <c r="AN245" s="55">
        <f t="shared" si="37"/>
        <v>0</v>
      </c>
      <c r="AO245" s="72"/>
      <c r="AP245" s="74" t="str">
        <f t="shared" si="38"/>
        <v/>
      </c>
      <c r="AQ245" s="74" t="str">
        <f t="shared" si="39"/>
        <v/>
      </c>
    </row>
    <row r="246" spans="1:43" ht="13.8" thickBot="1" x14ac:dyDescent="0.3">
      <c r="A246" s="68">
        <v>10</v>
      </c>
      <c r="B246" s="67" t="s">
        <v>194</v>
      </c>
      <c r="C246" s="66" t="s">
        <v>969</v>
      </c>
      <c r="D246" s="66" t="s">
        <v>198</v>
      </c>
      <c r="E246" s="69" t="s">
        <v>195</v>
      </c>
      <c r="F246" s="54"/>
      <c r="G246" s="54"/>
      <c r="H246" s="30">
        <v>0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30">
        <v>0</v>
      </c>
      <c r="R246" s="30">
        <v>0</v>
      </c>
      <c r="S246" s="30">
        <v>0</v>
      </c>
      <c r="T246" s="30">
        <v>0</v>
      </c>
      <c r="U246" s="30">
        <v>0</v>
      </c>
      <c r="V246" s="30">
        <v>0</v>
      </c>
      <c r="W246" s="30">
        <v>0</v>
      </c>
      <c r="X246" s="30">
        <v>0</v>
      </c>
      <c r="Y246" s="30">
        <v>0</v>
      </c>
      <c r="Z246" s="30">
        <v>0</v>
      </c>
      <c r="AA246" s="30">
        <v>0</v>
      </c>
      <c r="AB246" s="30">
        <v>0</v>
      </c>
      <c r="AC246" s="30">
        <v>0</v>
      </c>
      <c r="AD246" s="30">
        <v>0</v>
      </c>
      <c r="AE246" s="30">
        <v>0</v>
      </c>
      <c r="AF246" s="30">
        <v>0</v>
      </c>
      <c r="AG246" s="30">
        <v>0</v>
      </c>
      <c r="AH246" s="30">
        <v>0</v>
      </c>
      <c r="AI246" s="30">
        <v>0</v>
      </c>
      <c r="AJ246" s="30">
        <v>0</v>
      </c>
      <c r="AK246" s="30">
        <v>0</v>
      </c>
      <c r="AL246" s="30"/>
      <c r="AM246" s="55">
        <f t="shared" si="36"/>
        <v>0</v>
      </c>
      <c r="AN246" s="55">
        <f t="shared" si="37"/>
        <v>0</v>
      </c>
      <c r="AO246" s="72"/>
      <c r="AP246" s="74" t="str">
        <f t="shared" si="38"/>
        <v/>
      </c>
      <c r="AQ246" s="74" t="str">
        <f t="shared" si="39"/>
        <v/>
      </c>
    </row>
    <row r="247" spans="1:43" ht="13.8" thickBot="1" x14ac:dyDescent="0.3">
      <c r="A247" s="68">
        <v>11</v>
      </c>
      <c r="B247" s="67" t="s">
        <v>200</v>
      </c>
      <c r="C247" s="66" t="s">
        <v>969</v>
      </c>
      <c r="D247" s="66" t="s">
        <v>198</v>
      </c>
      <c r="E247" s="69" t="s">
        <v>970</v>
      </c>
      <c r="F247" s="54"/>
      <c r="G247" s="54"/>
      <c r="H247" s="30">
        <v>0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0</v>
      </c>
      <c r="Q247" s="30">
        <v>0</v>
      </c>
      <c r="R247" s="30">
        <v>0</v>
      </c>
      <c r="S247" s="30">
        <v>0</v>
      </c>
      <c r="T247" s="30">
        <v>0</v>
      </c>
      <c r="U247" s="30">
        <v>0</v>
      </c>
      <c r="V247" s="30">
        <v>0</v>
      </c>
      <c r="W247" s="30">
        <v>0</v>
      </c>
      <c r="X247" s="30">
        <v>0</v>
      </c>
      <c r="Y247" s="30">
        <v>0</v>
      </c>
      <c r="Z247" s="30">
        <v>0</v>
      </c>
      <c r="AA247" s="30">
        <v>0</v>
      </c>
      <c r="AB247" s="30">
        <v>0</v>
      </c>
      <c r="AC247" s="30">
        <v>0</v>
      </c>
      <c r="AD247" s="30">
        <v>0</v>
      </c>
      <c r="AE247" s="30">
        <v>0</v>
      </c>
      <c r="AF247" s="30">
        <v>0</v>
      </c>
      <c r="AG247" s="30">
        <v>0</v>
      </c>
      <c r="AH247" s="30">
        <v>0</v>
      </c>
      <c r="AI247" s="30">
        <v>0</v>
      </c>
      <c r="AJ247" s="30">
        <v>0</v>
      </c>
      <c r="AK247" s="30">
        <v>0</v>
      </c>
      <c r="AL247" s="30"/>
      <c r="AM247" s="55">
        <f t="shared" si="36"/>
        <v>0</v>
      </c>
      <c r="AN247" s="55">
        <f t="shared" si="37"/>
        <v>0</v>
      </c>
      <c r="AO247" s="72"/>
      <c r="AP247" s="74" t="str">
        <f t="shared" si="38"/>
        <v/>
      </c>
      <c r="AQ247" s="74" t="str">
        <f t="shared" si="39"/>
        <v/>
      </c>
    </row>
    <row r="248" spans="1:43" ht="13.8" thickBot="1" x14ac:dyDescent="0.3">
      <c r="A248" s="68">
        <v>12</v>
      </c>
      <c r="B248" s="67" t="s">
        <v>972</v>
      </c>
      <c r="C248" s="69" t="s">
        <v>971</v>
      </c>
      <c r="D248" s="66" t="s">
        <v>213</v>
      </c>
      <c r="E248" s="69" t="s">
        <v>203</v>
      </c>
      <c r="F248" s="54"/>
      <c r="G248" s="54"/>
      <c r="H248" s="30">
        <v>0</v>
      </c>
      <c r="I248" s="30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O248" s="30">
        <v>0</v>
      </c>
      <c r="P248" s="30">
        <v>0</v>
      </c>
      <c r="Q248" s="30">
        <v>0</v>
      </c>
      <c r="R248" s="30">
        <v>0</v>
      </c>
      <c r="S248" s="30">
        <v>0</v>
      </c>
      <c r="T248" s="30">
        <v>0</v>
      </c>
      <c r="U248" s="30">
        <v>0</v>
      </c>
      <c r="V248" s="30">
        <v>0</v>
      </c>
      <c r="W248" s="30">
        <v>0</v>
      </c>
      <c r="X248" s="30">
        <v>0</v>
      </c>
      <c r="Y248" s="30">
        <v>0</v>
      </c>
      <c r="Z248" s="30">
        <v>0</v>
      </c>
      <c r="AA248" s="30">
        <v>0</v>
      </c>
      <c r="AB248" s="30">
        <v>0</v>
      </c>
      <c r="AC248" s="30">
        <v>0</v>
      </c>
      <c r="AD248" s="30">
        <v>0</v>
      </c>
      <c r="AE248" s="30">
        <v>0</v>
      </c>
      <c r="AF248" s="30">
        <v>0</v>
      </c>
      <c r="AG248" s="30">
        <v>0</v>
      </c>
      <c r="AH248" s="30">
        <v>0</v>
      </c>
      <c r="AI248" s="30">
        <v>0</v>
      </c>
      <c r="AJ248" s="30">
        <v>0</v>
      </c>
      <c r="AK248" s="30">
        <v>0</v>
      </c>
      <c r="AL248" s="30"/>
      <c r="AM248" s="55">
        <f t="shared" si="36"/>
        <v>0</v>
      </c>
      <c r="AN248" s="55">
        <f t="shared" si="37"/>
        <v>0</v>
      </c>
      <c r="AO248" s="72"/>
      <c r="AP248" s="74" t="str">
        <f t="shared" si="38"/>
        <v/>
      </c>
      <c r="AQ248" s="74" t="str">
        <f t="shared" si="39"/>
        <v/>
      </c>
    </row>
    <row r="249" spans="1:43" ht="13.8" thickBot="1" x14ac:dyDescent="0.3">
      <c r="A249" s="68">
        <v>13</v>
      </c>
      <c r="B249" s="67" t="s">
        <v>212</v>
      </c>
      <c r="C249" s="69" t="s">
        <v>971</v>
      </c>
      <c r="D249" s="66" t="s">
        <v>213</v>
      </c>
      <c r="E249" s="69" t="s">
        <v>203</v>
      </c>
      <c r="F249" s="54"/>
      <c r="G249" s="54"/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Q249" s="30">
        <v>0</v>
      </c>
      <c r="R249" s="30">
        <v>0</v>
      </c>
      <c r="S249" s="30">
        <v>0</v>
      </c>
      <c r="T249" s="30">
        <v>0</v>
      </c>
      <c r="U249" s="30">
        <v>0</v>
      </c>
      <c r="V249" s="30">
        <v>0</v>
      </c>
      <c r="W249" s="30">
        <v>0</v>
      </c>
      <c r="X249" s="30">
        <v>0</v>
      </c>
      <c r="Y249" s="30">
        <v>0</v>
      </c>
      <c r="Z249" s="30">
        <v>0</v>
      </c>
      <c r="AA249" s="30">
        <v>0</v>
      </c>
      <c r="AB249" s="30">
        <v>0</v>
      </c>
      <c r="AC249" s="30">
        <v>0</v>
      </c>
      <c r="AD249" s="30">
        <v>0</v>
      </c>
      <c r="AE249" s="30">
        <v>0</v>
      </c>
      <c r="AF249" s="30">
        <v>0</v>
      </c>
      <c r="AG249" s="30">
        <v>0</v>
      </c>
      <c r="AH249" s="30">
        <v>0</v>
      </c>
      <c r="AI249" s="30">
        <v>0</v>
      </c>
      <c r="AJ249" s="30">
        <v>0</v>
      </c>
      <c r="AK249" s="30">
        <v>0</v>
      </c>
      <c r="AL249" s="30"/>
      <c r="AM249" s="55">
        <f t="shared" si="36"/>
        <v>0</v>
      </c>
      <c r="AN249" s="55">
        <f t="shared" si="37"/>
        <v>0</v>
      </c>
      <c r="AO249" s="72"/>
      <c r="AP249" s="74" t="str">
        <f t="shared" si="38"/>
        <v/>
      </c>
      <c r="AQ249" s="74" t="str">
        <f t="shared" si="39"/>
        <v/>
      </c>
    </row>
    <row r="250" spans="1:43" ht="13.8" thickBot="1" x14ac:dyDescent="0.3">
      <c r="A250" s="68">
        <v>14</v>
      </c>
      <c r="B250" s="67" t="s">
        <v>204</v>
      </c>
      <c r="C250" s="69" t="s">
        <v>46</v>
      </c>
      <c r="D250" s="66" t="s">
        <v>198</v>
      </c>
      <c r="E250" s="70" t="s">
        <v>13</v>
      </c>
      <c r="F250" s="54"/>
      <c r="G250" s="54"/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0</v>
      </c>
      <c r="R250" s="30">
        <v>0</v>
      </c>
      <c r="S250" s="30">
        <v>0</v>
      </c>
      <c r="T250" s="30">
        <v>0</v>
      </c>
      <c r="U250" s="30">
        <v>0</v>
      </c>
      <c r="V250" s="30">
        <v>0</v>
      </c>
      <c r="W250" s="30">
        <v>0</v>
      </c>
      <c r="X250" s="30">
        <v>0</v>
      </c>
      <c r="Y250" s="30">
        <v>0</v>
      </c>
      <c r="Z250" s="30">
        <v>0</v>
      </c>
      <c r="AA250" s="30">
        <v>0</v>
      </c>
      <c r="AB250" s="30">
        <v>0</v>
      </c>
      <c r="AC250" s="30">
        <v>0</v>
      </c>
      <c r="AD250" s="30">
        <v>0</v>
      </c>
      <c r="AE250" s="30">
        <v>0</v>
      </c>
      <c r="AF250" s="30">
        <v>0</v>
      </c>
      <c r="AG250" s="30">
        <v>0</v>
      </c>
      <c r="AH250" s="30">
        <v>0</v>
      </c>
      <c r="AI250" s="30">
        <v>0</v>
      </c>
      <c r="AJ250" s="30">
        <v>0</v>
      </c>
      <c r="AK250" s="30">
        <v>0</v>
      </c>
      <c r="AL250" s="30"/>
      <c r="AM250" s="55">
        <f t="shared" si="36"/>
        <v>0</v>
      </c>
      <c r="AN250" s="55">
        <f t="shared" si="37"/>
        <v>0</v>
      </c>
      <c r="AO250" s="72"/>
      <c r="AP250" s="74" t="str">
        <f t="shared" si="38"/>
        <v/>
      </c>
      <c r="AQ250" s="74" t="str">
        <f t="shared" si="39"/>
        <v/>
      </c>
    </row>
    <row r="251" spans="1:43" ht="13.8" thickBot="1" x14ac:dyDescent="0.3">
      <c r="A251" s="68">
        <v>15</v>
      </c>
      <c r="B251" s="67" t="s">
        <v>973</v>
      </c>
      <c r="C251" s="69" t="s">
        <v>46</v>
      </c>
      <c r="D251" s="66" t="s">
        <v>201</v>
      </c>
      <c r="E251" s="69" t="s">
        <v>203</v>
      </c>
      <c r="F251" s="54"/>
      <c r="G251" s="54"/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30">
        <v>0</v>
      </c>
      <c r="R251" s="30">
        <v>0</v>
      </c>
      <c r="S251" s="30">
        <v>0</v>
      </c>
      <c r="T251" s="30">
        <v>0</v>
      </c>
      <c r="U251" s="30">
        <v>0</v>
      </c>
      <c r="V251" s="30">
        <v>0</v>
      </c>
      <c r="W251" s="30">
        <v>0</v>
      </c>
      <c r="X251" s="30">
        <v>0</v>
      </c>
      <c r="Y251" s="30">
        <v>0</v>
      </c>
      <c r="Z251" s="30">
        <v>0</v>
      </c>
      <c r="AA251" s="30">
        <v>0</v>
      </c>
      <c r="AB251" s="30">
        <v>0</v>
      </c>
      <c r="AC251" s="30">
        <v>0</v>
      </c>
      <c r="AD251" s="30">
        <v>0</v>
      </c>
      <c r="AE251" s="30">
        <v>0</v>
      </c>
      <c r="AF251" s="30">
        <v>0</v>
      </c>
      <c r="AG251" s="30">
        <v>0</v>
      </c>
      <c r="AH251" s="30">
        <v>0</v>
      </c>
      <c r="AI251" s="30">
        <v>0</v>
      </c>
      <c r="AJ251" s="30">
        <v>0</v>
      </c>
      <c r="AK251" s="30">
        <v>0</v>
      </c>
      <c r="AL251" s="30"/>
      <c r="AM251" s="55">
        <f t="shared" si="36"/>
        <v>0</v>
      </c>
      <c r="AN251" s="55">
        <f t="shared" si="37"/>
        <v>0</v>
      </c>
      <c r="AO251" s="72"/>
      <c r="AP251" s="74" t="str">
        <f t="shared" si="38"/>
        <v/>
      </c>
      <c r="AQ251" s="74" t="str">
        <f t="shared" si="39"/>
        <v/>
      </c>
    </row>
    <row r="252" spans="1:43" ht="13.8" thickBot="1" x14ac:dyDescent="0.3">
      <c r="A252" s="68">
        <v>16</v>
      </c>
      <c r="B252" s="67" t="s">
        <v>218</v>
      </c>
      <c r="C252" s="69" t="s">
        <v>46</v>
      </c>
      <c r="D252" s="66" t="s">
        <v>198</v>
      </c>
      <c r="E252" s="69" t="s">
        <v>975</v>
      </c>
      <c r="F252" s="54"/>
      <c r="G252" s="54"/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30">
        <v>0</v>
      </c>
      <c r="R252" s="30">
        <v>0</v>
      </c>
      <c r="S252" s="30">
        <v>0</v>
      </c>
      <c r="T252" s="30">
        <v>0</v>
      </c>
      <c r="U252" s="30">
        <v>0</v>
      </c>
      <c r="V252" s="30">
        <v>0</v>
      </c>
      <c r="W252" s="30">
        <v>0</v>
      </c>
      <c r="X252" s="30">
        <v>0</v>
      </c>
      <c r="Y252" s="30">
        <v>0</v>
      </c>
      <c r="Z252" s="30">
        <v>0</v>
      </c>
      <c r="AA252" s="30">
        <v>0</v>
      </c>
      <c r="AB252" s="30">
        <v>0</v>
      </c>
      <c r="AC252" s="30">
        <v>0</v>
      </c>
      <c r="AD252" s="30">
        <v>0</v>
      </c>
      <c r="AE252" s="30">
        <v>0</v>
      </c>
      <c r="AF252" s="30">
        <v>0</v>
      </c>
      <c r="AG252" s="30">
        <v>0</v>
      </c>
      <c r="AH252" s="30">
        <v>0</v>
      </c>
      <c r="AI252" s="30">
        <v>0</v>
      </c>
      <c r="AJ252" s="30">
        <v>0</v>
      </c>
      <c r="AK252" s="30">
        <v>0</v>
      </c>
      <c r="AL252" s="30"/>
      <c r="AM252" s="55">
        <f t="shared" si="36"/>
        <v>0</v>
      </c>
      <c r="AN252" s="55">
        <f t="shared" si="37"/>
        <v>0</v>
      </c>
      <c r="AO252" s="72"/>
      <c r="AP252" s="74" t="str">
        <f t="shared" si="38"/>
        <v/>
      </c>
      <c r="AQ252" s="74" t="str">
        <f t="shared" si="39"/>
        <v/>
      </c>
    </row>
    <row r="253" spans="1:43" ht="13.8" thickBot="1" x14ac:dyDescent="0.3">
      <c r="A253" s="68">
        <v>17</v>
      </c>
      <c r="B253" s="67" t="s">
        <v>974</v>
      </c>
      <c r="C253" s="69" t="s">
        <v>46</v>
      </c>
      <c r="D253" s="66" t="s">
        <v>210</v>
      </c>
      <c r="E253" s="70" t="s">
        <v>13</v>
      </c>
      <c r="F253" s="54"/>
      <c r="G253" s="54"/>
      <c r="H253" s="30">
        <v>0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0</v>
      </c>
      <c r="O253" s="30">
        <v>0</v>
      </c>
      <c r="P253" s="30">
        <v>0</v>
      </c>
      <c r="Q253" s="30">
        <v>0</v>
      </c>
      <c r="R253" s="30">
        <v>0</v>
      </c>
      <c r="S253" s="30">
        <v>0</v>
      </c>
      <c r="T253" s="30">
        <v>0</v>
      </c>
      <c r="U253" s="30">
        <v>0</v>
      </c>
      <c r="V253" s="30">
        <v>0</v>
      </c>
      <c r="W253" s="30">
        <v>0</v>
      </c>
      <c r="X253" s="30">
        <v>0</v>
      </c>
      <c r="Y253" s="30">
        <v>0</v>
      </c>
      <c r="Z253" s="30">
        <v>0</v>
      </c>
      <c r="AA253" s="30">
        <v>0</v>
      </c>
      <c r="AB253" s="30">
        <v>0</v>
      </c>
      <c r="AC253" s="30">
        <v>0</v>
      </c>
      <c r="AD253" s="30">
        <v>0</v>
      </c>
      <c r="AE253" s="30">
        <v>0</v>
      </c>
      <c r="AF253" s="30">
        <v>0</v>
      </c>
      <c r="AG253" s="30">
        <v>0</v>
      </c>
      <c r="AH253" s="30">
        <v>0</v>
      </c>
      <c r="AI253" s="30">
        <v>0</v>
      </c>
      <c r="AJ253" s="30">
        <v>0</v>
      </c>
      <c r="AK253" s="30">
        <v>0</v>
      </c>
      <c r="AL253" s="30"/>
      <c r="AM253" s="55">
        <f t="shared" si="36"/>
        <v>0</v>
      </c>
      <c r="AN253" s="55">
        <f t="shared" si="37"/>
        <v>0</v>
      </c>
      <c r="AO253" s="72"/>
      <c r="AP253" s="74" t="str">
        <f t="shared" si="38"/>
        <v/>
      </c>
      <c r="AQ253" s="74" t="str">
        <f t="shared" si="39"/>
        <v/>
      </c>
    </row>
    <row r="254" spans="1:43" ht="13.8" thickBot="1" x14ac:dyDescent="0.3">
      <c r="A254" s="68">
        <v>18</v>
      </c>
      <c r="B254" s="67" t="s">
        <v>221</v>
      </c>
      <c r="C254" s="69" t="s">
        <v>46</v>
      </c>
      <c r="D254" s="66" t="s">
        <v>976</v>
      </c>
      <c r="E254" s="70" t="s">
        <v>13</v>
      </c>
      <c r="F254" s="54"/>
      <c r="G254" s="54"/>
      <c r="H254" s="30">
        <v>0</v>
      </c>
      <c r="I254" s="30">
        <v>0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0">
        <v>0</v>
      </c>
      <c r="R254" s="30">
        <v>0</v>
      </c>
      <c r="S254" s="30">
        <v>0</v>
      </c>
      <c r="T254" s="30">
        <v>0</v>
      </c>
      <c r="U254" s="30">
        <v>0</v>
      </c>
      <c r="V254" s="30">
        <v>0</v>
      </c>
      <c r="W254" s="30">
        <v>0</v>
      </c>
      <c r="X254" s="30">
        <v>0</v>
      </c>
      <c r="Y254" s="30">
        <v>0</v>
      </c>
      <c r="Z254" s="30">
        <v>0</v>
      </c>
      <c r="AA254" s="30">
        <v>0</v>
      </c>
      <c r="AB254" s="30">
        <v>0</v>
      </c>
      <c r="AC254" s="30">
        <v>0</v>
      </c>
      <c r="AD254" s="30">
        <v>0</v>
      </c>
      <c r="AE254" s="30">
        <v>0</v>
      </c>
      <c r="AF254" s="30">
        <v>0</v>
      </c>
      <c r="AG254" s="30">
        <v>0</v>
      </c>
      <c r="AH254" s="30">
        <v>0</v>
      </c>
      <c r="AI254" s="30">
        <v>0</v>
      </c>
      <c r="AJ254" s="30">
        <v>0</v>
      </c>
      <c r="AK254" s="30">
        <v>0</v>
      </c>
      <c r="AL254" s="30"/>
      <c r="AM254" s="55">
        <f t="shared" si="36"/>
        <v>0</v>
      </c>
      <c r="AN254" s="55">
        <f t="shared" si="37"/>
        <v>0</v>
      </c>
      <c r="AO254" s="72"/>
      <c r="AP254" s="74" t="str">
        <f t="shared" si="38"/>
        <v/>
      </c>
      <c r="AQ254" s="74" t="str">
        <f t="shared" si="39"/>
        <v/>
      </c>
    </row>
    <row r="255" spans="1:43" ht="13.8" thickBot="1" x14ac:dyDescent="0.3">
      <c r="A255" s="68">
        <v>19</v>
      </c>
      <c r="B255" s="67" t="s">
        <v>223</v>
      </c>
      <c r="C255" s="69" t="s">
        <v>977</v>
      </c>
      <c r="D255" s="66" t="s">
        <v>224</v>
      </c>
      <c r="E255" s="69" t="s">
        <v>978</v>
      </c>
      <c r="F255" s="54"/>
      <c r="G255" s="54"/>
      <c r="H255" s="30">
        <v>0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0</v>
      </c>
      <c r="P255" s="30">
        <v>0</v>
      </c>
      <c r="Q255" s="30">
        <v>0</v>
      </c>
      <c r="R255" s="30">
        <v>0</v>
      </c>
      <c r="S255" s="30">
        <v>0</v>
      </c>
      <c r="T255" s="30">
        <v>0</v>
      </c>
      <c r="U255" s="30">
        <v>0</v>
      </c>
      <c r="V255" s="30">
        <v>0</v>
      </c>
      <c r="W255" s="30">
        <v>0</v>
      </c>
      <c r="X255" s="30">
        <v>0</v>
      </c>
      <c r="Y255" s="30">
        <v>0</v>
      </c>
      <c r="Z255" s="30">
        <v>0</v>
      </c>
      <c r="AA255" s="30">
        <v>0</v>
      </c>
      <c r="AB255" s="30">
        <v>0</v>
      </c>
      <c r="AC255" s="30">
        <v>0</v>
      </c>
      <c r="AD255" s="30">
        <v>0</v>
      </c>
      <c r="AE255" s="30">
        <v>0</v>
      </c>
      <c r="AF255" s="30">
        <v>0</v>
      </c>
      <c r="AG255" s="30">
        <v>0</v>
      </c>
      <c r="AH255" s="30">
        <v>0</v>
      </c>
      <c r="AI255" s="30">
        <v>0</v>
      </c>
      <c r="AJ255" s="30">
        <v>0</v>
      </c>
      <c r="AK255" s="30">
        <v>0</v>
      </c>
      <c r="AL255" s="30"/>
      <c r="AM255" s="55">
        <f t="shared" si="36"/>
        <v>0</v>
      </c>
      <c r="AN255" s="55">
        <f t="shared" si="37"/>
        <v>0</v>
      </c>
      <c r="AO255" s="72"/>
      <c r="AP255" s="74" t="str">
        <f t="shared" si="38"/>
        <v/>
      </c>
      <c r="AQ255" s="74" t="str">
        <f t="shared" si="39"/>
        <v/>
      </c>
    </row>
    <row r="256" spans="1:43" ht="13.8" thickBot="1" x14ac:dyDescent="0.3">
      <c r="A256" s="68">
        <v>20</v>
      </c>
      <c r="B256" s="67" t="s">
        <v>205</v>
      </c>
      <c r="C256" s="69" t="s">
        <v>979</v>
      </c>
      <c r="D256" s="66" t="s">
        <v>201</v>
      </c>
      <c r="E256" s="70" t="s">
        <v>13</v>
      </c>
      <c r="F256" s="54"/>
      <c r="G256" s="54"/>
      <c r="H256" s="30">
        <v>0</v>
      </c>
      <c r="I256" s="30">
        <v>0</v>
      </c>
      <c r="J256" s="30">
        <v>0</v>
      </c>
      <c r="K256" s="30">
        <v>0</v>
      </c>
      <c r="L256" s="30">
        <v>0</v>
      </c>
      <c r="M256" s="30">
        <v>0</v>
      </c>
      <c r="N256" s="30">
        <v>0</v>
      </c>
      <c r="O256" s="30">
        <v>0</v>
      </c>
      <c r="P256" s="30">
        <v>0</v>
      </c>
      <c r="Q256" s="30">
        <v>0</v>
      </c>
      <c r="R256" s="30">
        <v>0</v>
      </c>
      <c r="S256" s="30">
        <v>0</v>
      </c>
      <c r="T256" s="30">
        <v>0</v>
      </c>
      <c r="U256" s="30">
        <v>0</v>
      </c>
      <c r="V256" s="30">
        <v>0</v>
      </c>
      <c r="W256" s="30">
        <v>0</v>
      </c>
      <c r="X256" s="30">
        <v>0</v>
      </c>
      <c r="Y256" s="30">
        <v>0</v>
      </c>
      <c r="Z256" s="30">
        <v>0</v>
      </c>
      <c r="AA256" s="30">
        <v>0</v>
      </c>
      <c r="AB256" s="30">
        <v>0</v>
      </c>
      <c r="AC256" s="30">
        <v>0</v>
      </c>
      <c r="AD256" s="30">
        <v>0</v>
      </c>
      <c r="AE256" s="30">
        <v>0</v>
      </c>
      <c r="AF256" s="30">
        <v>0</v>
      </c>
      <c r="AG256" s="30">
        <v>0</v>
      </c>
      <c r="AH256" s="30">
        <v>0</v>
      </c>
      <c r="AI256" s="30">
        <v>0</v>
      </c>
      <c r="AJ256" s="30">
        <v>0</v>
      </c>
      <c r="AK256" s="30">
        <v>0</v>
      </c>
      <c r="AL256" s="30"/>
      <c r="AM256" s="55">
        <f t="shared" si="36"/>
        <v>0</v>
      </c>
      <c r="AN256" s="55">
        <f t="shared" si="37"/>
        <v>0</v>
      </c>
      <c r="AO256" s="72"/>
      <c r="AP256" s="74" t="str">
        <f t="shared" si="38"/>
        <v/>
      </c>
      <c r="AQ256" s="74" t="str">
        <f t="shared" si="39"/>
        <v/>
      </c>
    </row>
    <row r="257" spans="1:43" ht="13.8" thickBot="1" x14ac:dyDescent="0.3">
      <c r="A257" s="68">
        <v>21</v>
      </c>
      <c r="B257" s="67" t="s">
        <v>209</v>
      </c>
      <c r="C257" s="69" t="s">
        <v>979</v>
      </c>
      <c r="D257" s="66" t="s">
        <v>210</v>
      </c>
      <c r="E257" s="70" t="s">
        <v>13</v>
      </c>
      <c r="F257" s="54"/>
      <c r="G257" s="54"/>
      <c r="H257" s="30">
        <v>0</v>
      </c>
      <c r="I257" s="30">
        <v>0</v>
      </c>
      <c r="J257" s="30">
        <v>0</v>
      </c>
      <c r="K257" s="30">
        <v>0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30">
        <v>0</v>
      </c>
      <c r="R257" s="30">
        <v>0</v>
      </c>
      <c r="S257" s="30">
        <v>0</v>
      </c>
      <c r="T257" s="30">
        <v>0</v>
      </c>
      <c r="U257" s="30">
        <v>0</v>
      </c>
      <c r="V257" s="30">
        <v>0</v>
      </c>
      <c r="W257" s="30">
        <v>0</v>
      </c>
      <c r="X257" s="30">
        <v>0</v>
      </c>
      <c r="Y257" s="30">
        <v>0</v>
      </c>
      <c r="Z257" s="30">
        <v>0</v>
      </c>
      <c r="AA257" s="30">
        <v>0</v>
      </c>
      <c r="AB257" s="30">
        <v>0</v>
      </c>
      <c r="AC257" s="30">
        <v>0</v>
      </c>
      <c r="AD257" s="30">
        <v>0</v>
      </c>
      <c r="AE257" s="30">
        <v>0</v>
      </c>
      <c r="AF257" s="30">
        <v>0</v>
      </c>
      <c r="AG257" s="30">
        <v>0</v>
      </c>
      <c r="AH257" s="30">
        <v>0</v>
      </c>
      <c r="AI257" s="30">
        <v>0</v>
      </c>
      <c r="AJ257" s="30">
        <v>0</v>
      </c>
      <c r="AK257" s="30">
        <v>0</v>
      </c>
      <c r="AL257" s="30"/>
      <c r="AM257" s="55">
        <f t="shared" si="36"/>
        <v>0</v>
      </c>
      <c r="AN257" s="55">
        <f t="shared" si="37"/>
        <v>0</v>
      </c>
      <c r="AO257" s="72"/>
      <c r="AP257" s="74" t="str">
        <f t="shared" si="38"/>
        <v/>
      </c>
      <c r="AQ257" s="74" t="str">
        <f t="shared" si="39"/>
        <v/>
      </c>
    </row>
    <row r="258" spans="1:43" ht="13.8" thickBot="1" x14ac:dyDescent="0.3">
      <c r="A258" s="68">
        <v>22</v>
      </c>
      <c r="B258" s="67" t="s">
        <v>207</v>
      </c>
      <c r="C258" s="69" t="s">
        <v>980</v>
      </c>
      <c r="D258" s="66" t="s">
        <v>201</v>
      </c>
      <c r="E258" s="69" t="s">
        <v>208</v>
      </c>
      <c r="F258" s="54"/>
      <c r="G258" s="54"/>
      <c r="H258" s="30">
        <v>0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>
        <v>0</v>
      </c>
      <c r="S258" s="30">
        <v>0</v>
      </c>
      <c r="T258" s="30">
        <v>0</v>
      </c>
      <c r="U258" s="30">
        <v>0</v>
      </c>
      <c r="V258" s="30">
        <v>0</v>
      </c>
      <c r="W258" s="30">
        <v>0</v>
      </c>
      <c r="X258" s="30">
        <v>0</v>
      </c>
      <c r="Y258" s="30">
        <v>0</v>
      </c>
      <c r="Z258" s="30">
        <v>0</v>
      </c>
      <c r="AA258" s="30">
        <v>0</v>
      </c>
      <c r="AB258" s="30">
        <v>0</v>
      </c>
      <c r="AC258" s="30">
        <v>0</v>
      </c>
      <c r="AD258" s="30">
        <v>0</v>
      </c>
      <c r="AE258" s="30">
        <v>0</v>
      </c>
      <c r="AF258" s="30">
        <v>0</v>
      </c>
      <c r="AG258" s="30">
        <v>0</v>
      </c>
      <c r="AH258" s="30">
        <v>0</v>
      </c>
      <c r="AI258" s="30">
        <v>0</v>
      </c>
      <c r="AJ258" s="30">
        <v>0</v>
      </c>
      <c r="AK258" s="30">
        <v>0</v>
      </c>
      <c r="AL258" s="30"/>
      <c r="AM258" s="55">
        <f t="shared" si="36"/>
        <v>0</v>
      </c>
      <c r="AN258" s="55">
        <f t="shared" si="37"/>
        <v>0</v>
      </c>
      <c r="AO258" s="72"/>
      <c r="AP258" s="74" t="str">
        <f t="shared" si="38"/>
        <v/>
      </c>
      <c r="AQ258" s="74" t="str">
        <f t="shared" si="39"/>
        <v/>
      </c>
    </row>
    <row r="259" spans="1:43" ht="13.8" thickBot="1" x14ac:dyDescent="0.3">
      <c r="A259" s="68">
        <v>23</v>
      </c>
      <c r="B259" s="67" t="s">
        <v>982</v>
      </c>
      <c r="C259" s="69" t="s">
        <v>981</v>
      </c>
      <c r="D259" s="66" t="s">
        <v>201</v>
      </c>
      <c r="E259" s="71">
        <v>0.02</v>
      </c>
      <c r="F259" s="54"/>
      <c r="G259" s="54"/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30">
        <v>0</v>
      </c>
      <c r="R259" s="30">
        <v>0</v>
      </c>
      <c r="S259" s="30">
        <v>0</v>
      </c>
      <c r="T259" s="30">
        <v>0</v>
      </c>
      <c r="U259" s="30">
        <v>0</v>
      </c>
      <c r="V259" s="30">
        <v>0</v>
      </c>
      <c r="W259" s="30">
        <v>0</v>
      </c>
      <c r="X259" s="30">
        <v>0</v>
      </c>
      <c r="Y259" s="30">
        <v>0</v>
      </c>
      <c r="Z259" s="30">
        <v>0</v>
      </c>
      <c r="AA259" s="30">
        <v>0</v>
      </c>
      <c r="AB259" s="30">
        <v>0</v>
      </c>
      <c r="AC259" s="30">
        <v>0</v>
      </c>
      <c r="AD259" s="30">
        <v>0</v>
      </c>
      <c r="AE259" s="30">
        <v>0</v>
      </c>
      <c r="AF259" s="30">
        <v>0</v>
      </c>
      <c r="AG259" s="30">
        <v>0</v>
      </c>
      <c r="AH259" s="30">
        <v>0</v>
      </c>
      <c r="AI259" s="30">
        <v>0</v>
      </c>
      <c r="AJ259" s="30">
        <v>0</v>
      </c>
      <c r="AK259" s="30">
        <v>0</v>
      </c>
      <c r="AL259" s="30"/>
      <c r="AM259" s="55">
        <f t="shared" si="36"/>
        <v>0</v>
      </c>
      <c r="AN259" s="55">
        <f t="shared" si="37"/>
        <v>0</v>
      </c>
      <c r="AO259" s="72"/>
      <c r="AP259" s="74" t="str">
        <f t="shared" si="38"/>
        <v/>
      </c>
      <c r="AQ259" s="74" t="str">
        <f t="shared" si="39"/>
        <v/>
      </c>
    </row>
    <row r="260" spans="1:43" ht="13.8" thickBot="1" x14ac:dyDescent="0.3">
      <c r="A260" s="68">
        <v>24</v>
      </c>
      <c r="B260" s="67" t="s">
        <v>216</v>
      </c>
      <c r="C260" s="69" t="s">
        <v>983</v>
      </c>
      <c r="D260" s="66" t="s">
        <v>213</v>
      </c>
      <c r="E260" s="70" t="s">
        <v>13</v>
      </c>
      <c r="F260" s="54"/>
      <c r="G260" s="54"/>
      <c r="H260" s="30">
        <v>0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  <c r="R260" s="30">
        <v>0</v>
      </c>
      <c r="S260" s="30">
        <v>0</v>
      </c>
      <c r="T260" s="30">
        <v>0</v>
      </c>
      <c r="U260" s="30">
        <v>0</v>
      </c>
      <c r="V260" s="30">
        <v>0</v>
      </c>
      <c r="W260" s="30">
        <v>0</v>
      </c>
      <c r="X260" s="30">
        <v>0</v>
      </c>
      <c r="Y260" s="30">
        <v>0</v>
      </c>
      <c r="Z260" s="30">
        <v>0</v>
      </c>
      <c r="AA260" s="30">
        <v>0</v>
      </c>
      <c r="AB260" s="30">
        <v>0</v>
      </c>
      <c r="AC260" s="30">
        <v>0</v>
      </c>
      <c r="AD260" s="30">
        <v>0</v>
      </c>
      <c r="AE260" s="30">
        <v>0</v>
      </c>
      <c r="AF260" s="30">
        <v>0</v>
      </c>
      <c r="AG260" s="30">
        <v>0</v>
      </c>
      <c r="AH260" s="30">
        <v>0</v>
      </c>
      <c r="AI260" s="30">
        <v>0</v>
      </c>
      <c r="AJ260" s="30">
        <v>0</v>
      </c>
      <c r="AK260" s="30">
        <v>0</v>
      </c>
      <c r="AL260" s="30"/>
      <c r="AM260" s="55">
        <f t="shared" si="36"/>
        <v>0</v>
      </c>
      <c r="AN260" s="55">
        <f t="shared" si="37"/>
        <v>0</v>
      </c>
      <c r="AO260" s="72"/>
      <c r="AP260" s="74" t="str">
        <f t="shared" si="38"/>
        <v/>
      </c>
      <c r="AQ260" s="74" t="str">
        <f t="shared" si="39"/>
        <v/>
      </c>
    </row>
    <row r="261" spans="1:43" ht="13.8" thickBot="1" x14ac:dyDescent="0.3">
      <c r="A261" s="68">
        <v>25</v>
      </c>
      <c r="B261" s="67" t="s">
        <v>217</v>
      </c>
      <c r="C261" s="69" t="s">
        <v>983</v>
      </c>
      <c r="D261" s="66" t="s">
        <v>198</v>
      </c>
      <c r="E261" s="70" t="s">
        <v>13</v>
      </c>
      <c r="F261" s="54"/>
      <c r="G261" s="54"/>
      <c r="H261" s="30">
        <v>0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30">
        <v>0</v>
      </c>
      <c r="R261" s="30">
        <v>0</v>
      </c>
      <c r="S261" s="30">
        <v>0</v>
      </c>
      <c r="T261" s="30">
        <v>0</v>
      </c>
      <c r="U261" s="30">
        <v>0</v>
      </c>
      <c r="V261" s="30">
        <v>0</v>
      </c>
      <c r="W261" s="30">
        <v>0</v>
      </c>
      <c r="X261" s="30">
        <v>0</v>
      </c>
      <c r="Y261" s="30">
        <v>0</v>
      </c>
      <c r="Z261" s="30">
        <v>0</v>
      </c>
      <c r="AA261" s="30">
        <v>0</v>
      </c>
      <c r="AB261" s="30">
        <v>0</v>
      </c>
      <c r="AC261" s="30">
        <v>0</v>
      </c>
      <c r="AD261" s="30">
        <v>0</v>
      </c>
      <c r="AE261" s="30">
        <v>0</v>
      </c>
      <c r="AF261" s="30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/>
      <c r="AM261" s="55">
        <f t="shared" si="36"/>
        <v>0</v>
      </c>
      <c r="AN261" s="55">
        <f t="shared" si="37"/>
        <v>0</v>
      </c>
      <c r="AO261" s="72"/>
      <c r="AP261" s="74" t="str">
        <f t="shared" si="38"/>
        <v/>
      </c>
      <c r="AQ261" s="74" t="str">
        <f t="shared" si="39"/>
        <v/>
      </c>
    </row>
    <row r="262" spans="1:43" ht="13.8" thickBot="1" x14ac:dyDescent="0.3">
      <c r="A262" s="68">
        <v>26</v>
      </c>
      <c r="B262" s="67" t="s">
        <v>225</v>
      </c>
      <c r="C262" s="69" t="s">
        <v>983</v>
      </c>
      <c r="D262" s="66" t="s">
        <v>198</v>
      </c>
      <c r="E262" s="70" t="s">
        <v>13</v>
      </c>
      <c r="F262" s="54"/>
      <c r="G262" s="54"/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0</v>
      </c>
      <c r="R262" s="30">
        <v>0</v>
      </c>
      <c r="S262" s="30">
        <v>0</v>
      </c>
      <c r="T262" s="30">
        <v>0</v>
      </c>
      <c r="U262" s="30">
        <v>0</v>
      </c>
      <c r="V262" s="30">
        <v>0</v>
      </c>
      <c r="W262" s="30">
        <v>0</v>
      </c>
      <c r="X262" s="30">
        <v>0</v>
      </c>
      <c r="Y262" s="30">
        <v>0</v>
      </c>
      <c r="Z262" s="30">
        <v>0</v>
      </c>
      <c r="AA262" s="30">
        <v>0</v>
      </c>
      <c r="AB262" s="30">
        <v>0</v>
      </c>
      <c r="AC262" s="30">
        <v>0</v>
      </c>
      <c r="AD262" s="30">
        <v>0</v>
      </c>
      <c r="AE262" s="30">
        <v>0</v>
      </c>
      <c r="AF262" s="30">
        <v>0</v>
      </c>
      <c r="AG262" s="30">
        <v>0</v>
      </c>
      <c r="AH262" s="30">
        <v>0</v>
      </c>
      <c r="AI262" s="30">
        <v>0</v>
      </c>
      <c r="AJ262" s="30">
        <v>0</v>
      </c>
      <c r="AK262" s="30">
        <v>0</v>
      </c>
      <c r="AL262" s="30"/>
      <c r="AM262" s="55">
        <f t="shared" si="36"/>
        <v>0</v>
      </c>
      <c r="AN262" s="55">
        <f t="shared" si="37"/>
        <v>0</v>
      </c>
      <c r="AO262" s="72"/>
      <c r="AP262" s="74" t="str">
        <f t="shared" si="38"/>
        <v/>
      </c>
      <c r="AQ262" s="74" t="str">
        <f t="shared" si="39"/>
        <v/>
      </c>
    </row>
    <row r="263" spans="1:43" ht="13.8" thickBot="1" x14ac:dyDescent="0.3">
      <c r="A263" s="68">
        <v>27</v>
      </c>
      <c r="B263" s="67" t="s">
        <v>222</v>
      </c>
      <c r="C263" s="69" t="s">
        <v>984</v>
      </c>
      <c r="D263" s="66" t="s">
        <v>976</v>
      </c>
      <c r="E263" s="70" t="s">
        <v>13</v>
      </c>
      <c r="F263" s="54"/>
      <c r="G263" s="54"/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  <c r="T263" s="30">
        <v>0</v>
      </c>
      <c r="U263" s="30">
        <v>0</v>
      </c>
      <c r="V263" s="30">
        <v>0</v>
      </c>
      <c r="W263" s="30">
        <v>0</v>
      </c>
      <c r="X263" s="30">
        <v>0</v>
      </c>
      <c r="Y263" s="30">
        <v>0</v>
      </c>
      <c r="Z263" s="30">
        <v>0</v>
      </c>
      <c r="AA263" s="30">
        <v>0</v>
      </c>
      <c r="AB263" s="30">
        <v>0</v>
      </c>
      <c r="AC263" s="30">
        <v>0</v>
      </c>
      <c r="AD263" s="30">
        <v>0</v>
      </c>
      <c r="AE263" s="30">
        <v>0</v>
      </c>
      <c r="AF263" s="30">
        <v>0</v>
      </c>
      <c r="AG263" s="30">
        <v>0</v>
      </c>
      <c r="AH263" s="30">
        <v>0</v>
      </c>
      <c r="AI263" s="30">
        <v>0</v>
      </c>
      <c r="AJ263" s="30">
        <v>0</v>
      </c>
      <c r="AK263" s="30">
        <v>0</v>
      </c>
      <c r="AL263" s="30"/>
      <c r="AM263" s="55">
        <f t="shared" si="36"/>
        <v>0</v>
      </c>
      <c r="AN263" s="55">
        <f t="shared" si="37"/>
        <v>0</v>
      </c>
      <c r="AO263" s="72"/>
      <c r="AP263" s="74" t="str">
        <f t="shared" si="38"/>
        <v/>
      </c>
      <c r="AQ263" s="74" t="str">
        <f t="shared" si="39"/>
        <v/>
      </c>
    </row>
    <row r="264" spans="1:43" ht="13.8" thickBot="1" x14ac:dyDescent="0.3">
      <c r="A264" s="68">
        <v>28</v>
      </c>
      <c r="B264" s="67" t="s">
        <v>202</v>
      </c>
      <c r="C264" s="69" t="s">
        <v>987</v>
      </c>
      <c r="D264" s="66" t="s">
        <v>976</v>
      </c>
      <c r="E264" s="70" t="s">
        <v>13</v>
      </c>
      <c r="F264" s="54"/>
      <c r="G264" s="54"/>
      <c r="H264" s="30">
        <v>0</v>
      </c>
      <c r="I264" s="30">
        <v>0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30">
        <v>0</v>
      </c>
      <c r="R264" s="30">
        <v>0</v>
      </c>
      <c r="S264" s="30">
        <v>0</v>
      </c>
      <c r="T264" s="30">
        <v>0</v>
      </c>
      <c r="U264" s="30">
        <v>0</v>
      </c>
      <c r="V264" s="30">
        <v>0</v>
      </c>
      <c r="W264" s="30">
        <v>0</v>
      </c>
      <c r="X264" s="30">
        <v>0</v>
      </c>
      <c r="Y264" s="30">
        <v>0</v>
      </c>
      <c r="Z264" s="30">
        <v>0</v>
      </c>
      <c r="AA264" s="30">
        <v>0</v>
      </c>
      <c r="AB264" s="30">
        <v>0</v>
      </c>
      <c r="AC264" s="30">
        <v>0</v>
      </c>
      <c r="AD264" s="30">
        <v>0</v>
      </c>
      <c r="AE264" s="30">
        <v>0</v>
      </c>
      <c r="AF264" s="30">
        <v>0</v>
      </c>
      <c r="AG264" s="30">
        <v>0</v>
      </c>
      <c r="AH264" s="30">
        <v>0</v>
      </c>
      <c r="AI264" s="30">
        <v>0</v>
      </c>
      <c r="AJ264" s="30">
        <v>0</v>
      </c>
      <c r="AK264" s="30">
        <v>0</v>
      </c>
      <c r="AL264" s="30"/>
      <c r="AM264" s="55">
        <f t="shared" si="36"/>
        <v>0</v>
      </c>
      <c r="AN264" s="55">
        <f t="shared" si="37"/>
        <v>0</v>
      </c>
      <c r="AO264" s="72"/>
      <c r="AP264" s="74" t="str">
        <f t="shared" si="38"/>
        <v/>
      </c>
      <c r="AQ264" s="74" t="str">
        <f t="shared" si="39"/>
        <v/>
      </c>
    </row>
    <row r="265" spans="1:43" ht="13.8" thickBot="1" x14ac:dyDescent="0.3">
      <c r="A265" s="68">
        <v>29</v>
      </c>
      <c r="B265" s="67" t="s">
        <v>214</v>
      </c>
      <c r="C265" s="69" t="s">
        <v>987</v>
      </c>
      <c r="D265" s="66" t="s">
        <v>976</v>
      </c>
      <c r="E265" s="70" t="s">
        <v>13</v>
      </c>
      <c r="F265" s="54"/>
      <c r="G265" s="54"/>
      <c r="H265" s="30">
        <v>0</v>
      </c>
      <c r="I265" s="30">
        <v>0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30">
        <v>0</v>
      </c>
      <c r="R265" s="30">
        <v>0</v>
      </c>
      <c r="S265" s="30">
        <v>0</v>
      </c>
      <c r="T265" s="30">
        <v>0</v>
      </c>
      <c r="U265" s="30">
        <v>0</v>
      </c>
      <c r="V265" s="30">
        <v>0</v>
      </c>
      <c r="W265" s="30">
        <v>0</v>
      </c>
      <c r="X265" s="30">
        <v>0</v>
      </c>
      <c r="Y265" s="30">
        <v>0</v>
      </c>
      <c r="Z265" s="30">
        <v>0</v>
      </c>
      <c r="AA265" s="30">
        <v>0</v>
      </c>
      <c r="AB265" s="30">
        <v>0</v>
      </c>
      <c r="AC265" s="30">
        <v>0</v>
      </c>
      <c r="AD265" s="30">
        <v>0</v>
      </c>
      <c r="AE265" s="30">
        <v>0</v>
      </c>
      <c r="AF265" s="30">
        <v>0</v>
      </c>
      <c r="AG265" s="30">
        <v>0</v>
      </c>
      <c r="AH265" s="30">
        <v>0</v>
      </c>
      <c r="AI265" s="30">
        <v>0</v>
      </c>
      <c r="AJ265" s="30">
        <v>0</v>
      </c>
      <c r="AK265" s="30">
        <v>0</v>
      </c>
      <c r="AL265" s="30"/>
      <c r="AM265" s="55">
        <f t="shared" si="36"/>
        <v>0</v>
      </c>
      <c r="AN265" s="55">
        <f t="shared" si="37"/>
        <v>0</v>
      </c>
      <c r="AO265" s="72"/>
      <c r="AP265" s="74" t="str">
        <f t="shared" si="38"/>
        <v/>
      </c>
      <c r="AQ265" s="74" t="str">
        <f t="shared" si="39"/>
        <v/>
      </c>
    </row>
    <row r="266" spans="1:43" ht="13.8" thickBot="1" x14ac:dyDescent="0.3">
      <c r="A266" s="68">
        <v>30</v>
      </c>
      <c r="B266" s="67" t="s">
        <v>993</v>
      </c>
      <c r="C266" s="69" t="s">
        <v>988</v>
      </c>
      <c r="D266" s="66" t="s">
        <v>219</v>
      </c>
      <c r="E266" s="66" t="s">
        <v>994</v>
      </c>
      <c r="F266" s="54"/>
      <c r="G266" s="54"/>
      <c r="H266" s="30">
        <v>0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30">
        <v>0</v>
      </c>
      <c r="R266" s="30">
        <v>0</v>
      </c>
      <c r="S266" s="30">
        <v>0</v>
      </c>
      <c r="T266" s="30">
        <v>0</v>
      </c>
      <c r="U266" s="30">
        <v>0</v>
      </c>
      <c r="V266" s="30">
        <v>0</v>
      </c>
      <c r="W266" s="30">
        <v>0</v>
      </c>
      <c r="X266" s="30">
        <v>0</v>
      </c>
      <c r="Y266" s="30">
        <v>0</v>
      </c>
      <c r="Z266" s="30">
        <v>0</v>
      </c>
      <c r="AA266" s="30">
        <v>0</v>
      </c>
      <c r="AB266" s="30">
        <v>0</v>
      </c>
      <c r="AC266" s="30">
        <v>0</v>
      </c>
      <c r="AD266" s="30">
        <v>0</v>
      </c>
      <c r="AE266" s="30">
        <v>0</v>
      </c>
      <c r="AF266" s="30">
        <v>0</v>
      </c>
      <c r="AG266" s="30">
        <v>0</v>
      </c>
      <c r="AH266" s="30">
        <v>0</v>
      </c>
      <c r="AI266" s="30">
        <v>0</v>
      </c>
      <c r="AJ266" s="30">
        <v>0</v>
      </c>
      <c r="AK266" s="30">
        <v>0</v>
      </c>
      <c r="AL266" s="30"/>
      <c r="AM266" s="55">
        <f t="shared" si="36"/>
        <v>0</v>
      </c>
      <c r="AN266" s="55">
        <f t="shared" si="37"/>
        <v>0</v>
      </c>
      <c r="AO266" s="72"/>
      <c r="AP266" s="74" t="str">
        <f t="shared" si="38"/>
        <v/>
      </c>
      <c r="AQ266" s="74" t="str">
        <f t="shared" si="39"/>
        <v/>
      </c>
    </row>
    <row r="267" spans="1:43" ht="13.8" thickBot="1" x14ac:dyDescent="0.3">
      <c r="A267" s="68">
        <v>31</v>
      </c>
      <c r="B267" s="67" t="s">
        <v>990</v>
      </c>
      <c r="C267" s="69" t="s">
        <v>989</v>
      </c>
      <c r="D267" s="66" t="s">
        <v>219</v>
      </c>
      <c r="E267" s="70" t="s">
        <v>13</v>
      </c>
      <c r="F267" s="54"/>
      <c r="G267" s="54"/>
      <c r="H267" s="30">
        <v>0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30">
        <v>0</v>
      </c>
      <c r="R267" s="30">
        <v>0</v>
      </c>
      <c r="S267" s="30">
        <v>0</v>
      </c>
      <c r="T267" s="30">
        <v>0</v>
      </c>
      <c r="U267" s="30">
        <v>0</v>
      </c>
      <c r="V267" s="30">
        <v>0</v>
      </c>
      <c r="W267" s="30">
        <v>0</v>
      </c>
      <c r="X267" s="30">
        <v>0</v>
      </c>
      <c r="Y267" s="30">
        <v>0</v>
      </c>
      <c r="Z267" s="30">
        <v>0</v>
      </c>
      <c r="AA267" s="30">
        <v>0</v>
      </c>
      <c r="AB267" s="30">
        <v>0</v>
      </c>
      <c r="AC267" s="30">
        <v>0</v>
      </c>
      <c r="AD267" s="30">
        <v>0</v>
      </c>
      <c r="AE267" s="30">
        <v>0</v>
      </c>
      <c r="AF267" s="30">
        <v>0</v>
      </c>
      <c r="AG267" s="30">
        <v>0</v>
      </c>
      <c r="AH267" s="30">
        <v>0</v>
      </c>
      <c r="AI267" s="30">
        <v>0</v>
      </c>
      <c r="AJ267" s="30">
        <v>0</v>
      </c>
      <c r="AK267" s="30">
        <v>0</v>
      </c>
      <c r="AL267" s="30"/>
      <c r="AM267" s="55">
        <f t="shared" si="36"/>
        <v>0</v>
      </c>
      <c r="AN267" s="55">
        <f t="shared" si="37"/>
        <v>0</v>
      </c>
      <c r="AO267" s="72"/>
      <c r="AP267" s="74" t="str">
        <f t="shared" si="38"/>
        <v/>
      </c>
      <c r="AQ267" s="74" t="str">
        <f t="shared" si="39"/>
        <v/>
      </c>
    </row>
    <row r="268" spans="1:43" ht="13.8" thickBot="1" x14ac:dyDescent="0.3">
      <c r="A268" s="68">
        <v>32</v>
      </c>
      <c r="B268" s="67" t="s">
        <v>196</v>
      </c>
      <c r="C268" s="69" t="s">
        <v>991</v>
      </c>
      <c r="D268" s="66" t="s">
        <v>213</v>
      </c>
      <c r="E268" s="66" t="s">
        <v>197</v>
      </c>
      <c r="F268" s="54"/>
      <c r="G268" s="54"/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30">
        <v>0</v>
      </c>
      <c r="X268" s="30">
        <v>0</v>
      </c>
      <c r="Y268" s="30">
        <v>0</v>
      </c>
      <c r="Z268" s="30">
        <v>0</v>
      </c>
      <c r="AA268" s="30">
        <v>0</v>
      </c>
      <c r="AB268" s="30">
        <v>0</v>
      </c>
      <c r="AC268" s="30">
        <v>0</v>
      </c>
      <c r="AD268" s="30">
        <v>0</v>
      </c>
      <c r="AE268" s="30">
        <v>0</v>
      </c>
      <c r="AF268" s="30">
        <v>0</v>
      </c>
      <c r="AG268" s="30">
        <v>0</v>
      </c>
      <c r="AH268" s="30">
        <v>0</v>
      </c>
      <c r="AI268" s="30">
        <v>0</v>
      </c>
      <c r="AJ268" s="30">
        <v>0</v>
      </c>
      <c r="AK268" s="30">
        <v>0</v>
      </c>
      <c r="AL268" s="30"/>
      <c r="AM268" s="55">
        <f t="shared" si="36"/>
        <v>0</v>
      </c>
      <c r="AN268" s="55">
        <f t="shared" si="37"/>
        <v>0</v>
      </c>
      <c r="AO268" s="72"/>
      <c r="AP268" s="74" t="str">
        <f t="shared" si="38"/>
        <v/>
      </c>
      <c r="AQ268" s="74" t="str">
        <f t="shared" si="39"/>
        <v/>
      </c>
    </row>
    <row r="269" spans="1:43" ht="13.8" thickBot="1" x14ac:dyDescent="0.3">
      <c r="A269" s="68">
        <v>33</v>
      </c>
      <c r="B269" s="67" t="s">
        <v>215</v>
      </c>
      <c r="C269" s="69" t="s">
        <v>992</v>
      </c>
      <c r="D269" s="66" t="s">
        <v>198</v>
      </c>
      <c r="E269" s="66" t="s">
        <v>206</v>
      </c>
      <c r="F269" s="54"/>
      <c r="G269" s="54"/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0">
        <v>0</v>
      </c>
      <c r="R269" s="30">
        <v>0</v>
      </c>
      <c r="S269" s="30">
        <v>0</v>
      </c>
      <c r="T269" s="30">
        <v>0</v>
      </c>
      <c r="U269" s="30">
        <v>0</v>
      </c>
      <c r="V269" s="30">
        <v>0</v>
      </c>
      <c r="W269" s="30">
        <v>0</v>
      </c>
      <c r="X269" s="30">
        <v>0</v>
      </c>
      <c r="Y269" s="30">
        <v>0</v>
      </c>
      <c r="Z269" s="30">
        <v>0</v>
      </c>
      <c r="AA269" s="30">
        <v>0</v>
      </c>
      <c r="AB269" s="30">
        <v>0</v>
      </c>
      <c r="AC269" s="30">
        <v>0</v>
      </c>
      <c r="AD269" s="30">
        <v>0</v>
      </c>
      <c r="AE269" s="30">
        <v>0</v>
      </c>
      <c r="AF269" s="30">
        <v>0</v>
      </c>
      <c r="AG269" s="30">
        <v>0</v>
      </c>
      <c r="AH269" s="30">
        <v>0</v>
      </c>
      <c r="AI269" s="30">
        <v>0</v>
      </c>
      <c r="AJ269" s="30">
        <v>0</v>
      </c>
      <c r="AK269" s="30">
        <v>0</v>
      </c>
      <c r="AL269" s="30"/>
      <c r="AM269" s="55">
        <f t="shared" si="36"/>
        <v>0</v>
      </c>
      <c r="AN269" s="55">
        <f t="shared" si="37"/>
        <v>0</v>
      </c>
      <c r="AO269" s="72"/>
      <c r="AP269" s="74" t="str">
        <f t="shared" si="38"/>
        <v/>
      </c>
      <c r="AQ269" s="74" t="str">
        <f t="shared" si="39"/>
        <v/>
      </c>
    </row>
    <row r="270" spans="1:43" ht="13.8" thickBot="1" x14ac:dyDescent="0.3">
      <c r="A270" s="68">
        <v>34</v>
      </c>
      <c r="B270" s="67" t="s">
        <v>226</v>
      </c>
      <c r="C270" s="69" t="s">
        <v>992</v>
      </c>
      <c r="D270" s="66" t="s">
        <v>230</v>
      </c>
      <c r="E270" s="66" t="s">
        <v>227</v>
      </c>
      <c r="F270" s="54"/>
      <c r="G270" s="54"/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0</v>
      </c>
      <c r="S270" s="30">
        <v>0</v>
      </c>
      <c r="T270" s="30">
        <v>0</v>
      </c>
      <c r="U270" s="30">
        <v>0</v>
      </c>
      <c r="V270" s="30">
        <v>0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v>0</v>
      </c>
      <c r="AD270" s="30">
        <v>0</v>
      </c>
      <c r="AE270" s="30">
        <v>0</v>
      </c>
      <c r="AF270" s="30">
        <v>0</v>
      </c>
      <c r="AG270" s="30">
        <v>0</v>
      </c>
      <c r="AH270" s="30">
        <v>0</v>
      </c>
      <c r="AI270" s="30">
        <v>0</v>
      </c>
      <c r="AJ270" s="30">
        <v>0</v>
      </c>
      <c r="AK270" s="30">
        <v>0</v>
      </c>
      <c r="AL270" s="30"/>
      <c r="AM270" s="55">
        <f t="shared" si="36"/>
        <v>0</v>
      </c>
      <c r="AN270" s="55">
        <f t="shared" si="37"/>
        <v>0</v>
      </c>
      <c r="AO270" s="72"/>
      <c r="AP270" s="74" t="str">
        <f t="shared" si="38"/>
        <v/>
      </c>
      <c r="AQ270" s="74" t="str">
        <f t="shared" si="39"/>
        <v/>
      </c>
    </row>
    <row r="271" spans="1:43" ht="13.8" thickBot="1" x14ac:dyDescent="0.3">
      <c r="A271" s="68">
        <v>35</v>
      </c>
      <c r="B271" s="67"/>
      <c r="C271" s="69"/>
      <c r="D271" s="66"/>
      <c r="E271" s="66"/>
      <c r="F271" s="54"/>
      <c r="G271" s="54"/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30">
        <v>0</v>
      </c>
      <c r="W271" s="30">
        <v>0</v>
      </c>
      <c r="X271" s="30">
        <v>0</v>
      </c>
      <c r="Y271" s="30">
        <v>0</v>
      </c>
      <c r="Z271" s="30">
        <v>0</v>
      </c>
      <c r="AA271" s="30">
        <v>0</v>
      </c>
      <c r="AB271" s="30">
        <v>0</v>
      </c>
      <c r="AC271" s="30">
        <v>0</v>
      </c>
      <c r="AD271" s="30">
        <v>0</v>
      </c>
      <c r="AE271" s="30">
        <v>0</v>
      </c>
      <c r="AF271" s="30">
        <v>0</v>
      </c>
      <c r="AG271" s="30">
        <v>0</v>
      </c>
      <c r="AH271" s="30">
        <v>0</v>
      </c>
      <c r="AI271" s="30">
        <v>0</v>
      </c>
      <c r="AJ271" s="30">
        <v>0</v>
      </c>
      <c r="AK271" s="30">
        <v>0</v>
      </c>
      <c r="AL271" s="30"/>
      <c r="AM271" s="55">
        <f t="shared" si="36"/>
        <v>0</v>
      </c>
      <c r="AN271" s="55">
        <f t="shared" si="37"/>
        <v>0</v>
      </c>
      <c r="AO271" s="72"/>
      <c r="AP271" s="74" t="str">
        <f t="shared" si="38"/>
        <v/>
      </c>
      <c r="AQ271" s="74" t="str">
        <f t="shared" si="39"/>
        <v/>
      </c>
    </row>
    <row r="272" spans="1:43" ht="13.8" thickBot="1" x14ac:dyDescent="0.3">
      <c r="A272" s="68">
        <v>36</v>
      </c>
      <c r="B272" s="67"/>
      <c r="C272" s="69"/>
      <c r="D272" s="66"/>
      <c r="E272" s="66"/>
      <c r="F272" s="54"/>
      <c r="G272" s="54"/>
      <c r="H272" s="30">
        <v>0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0">
        <v>0</v>
      </c>
      <c r="X272" s="30">
        <v>0</v>
      </c>
      <c r="Y272" s="30">
        <v>0</v>
      </c>
      <c r="Z272" s="30">
        <v>0</v>
      </c>
      <c r="AA272" s="30">
        <v>0</v>
      </c>
      <c r="AB272" s="30">
        <v>0</v>
      </c>
      <c r="AC272" s="30">
        <v>0</v>
      </c>
      <c r="AD272" s="30">
        <v>0</v>
      </c>
      <c r="AE272" s="30">
        <v>0</v>
      </c>
      <c r="AF272" s="30">
        <v>0</v>
      </c>
      <c r="AG272" s="30">
        <v>0</v>
      </c>
      <c r="AH272" s="30">
        <v>0</v>
      </c>
      <c r="AI272" s="30">
        <v>0</v>
      </c>
      <c r="AJ272" s="30">
        <v>0</v>
      </c>
      <c r="AK272" s="30">
        <v>0</v>
      </c>
      <c r="AL272" s="30"/>
      <c r="AM272" s="55">
        <f t="shared" si="36"/>
        <v>0</v>
      </c>
      <c r="AN272" s="55">
        <f t="shared" si="37"/>
        <v>0</v>
      </c>
      <c r="AO272" s="72"/>
      <c r="AP272" s="74" t="str">
        <f t="shared" si="38"/>
        <v/>
      </c>
      <c r="AQ272" s="74" t="str">
        <f t="shared" si="39"/>
        <v/>
      </c>
    </row>
    <row r="273" spans="1:43" ht="13.8" thickBot="1" x14ac:dyDescent="0.3">
      <c r="A273" s="68">
        <v>37</v>
      </c>
      <c r="B273" s="67"/>
      <c r="C273" s="69"/>
      <c r="D273" s="66"/>
      <c r="E273" s="66"/>
      <c r="F273" s="54"/>
      <c r="G273" s="54"/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30">
        <v>0</v>
      </c>
      <c r="W273" s="30">
        <v>0</v>
      </c>
      <c r="X273" s="30">
        <v>0</v>
      </c>
      <c r="Y273" s="30">
        <v>0</v>
      </c>
      <c r="Z273" s="30">
        <v>0</v>
      </c>
      <c r="AA273" s="30">
        <v>0</v>
      </c>
      <c r="AB273" s="30">
        <v>0</v>
      </c>
      <c r="AC273" s="30">
        <v>0</v>
      </c>
      <c r="AD273" s="30">
        <v>0</v>
      </c>
      <c r="AE273" s="30">
        <v>0</v>
      </c>
      <c r="AF273" s="30">
        <v>0</v>
      </c>
      <c r="AG273" s="30">
        <v>0</v>
      </c>
      <c r="AH273" s="30">
        <v>0</v>
      </c>
      <c r="AI273" s="30">
        <v>0</v>
      </c>
      <c r="AJ273" s="30">
        <v>0</v>
      </c>
      <c r="AK273" s="30">
        <v>0</v>
      </c>
      <c r="AL273" s="30"/>
      <c r="AM273" s="55">
        <f t="shared" si="36"/>
        <v>0</v>
      </c>
      <c r="AN273" s="55">
        <f t="shared" si="37"/>
        <v>0</v>
      </c>
      <c r="AO273" s="72"/>
      <c r="AP273" s="74" t="str">
        <f t="shared" si="38"/>
        <v/>
      </c>
      <c r="AQ273" s="74" t="str">
        <f t="shared" si="39"/>
        <v/>
      </c>
    </row>
    <row r="274" spans="1:43" ht="13.8" thickBot="1" x14ac:dyDescent="0.3">
      <c r="A274" s="68">
        <v>38</v>
      </c>
      <c r="B274" s="67"/>
      <c r="C274" s="69"/>
      <c r="D274" s="66"/>
      <c r="E274" s="66"/>
      <c r="F274" s="54"/>
      <c r="G274" s="54"/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0</v>
      </c>
      <c r="Q274" s="30">
        <v>0</v>
      </c>
      <c r="R274" s="30">
        <v>0</v>
      </c>
      <c r="S274" s="30">
        <v>0</v>
      </c>
      <c r="T274" s="30">
        <v>0</v>
      </c>
      <c r="U274" s="30">
        <v>0</v>
      </c>
      <c r="V274" s="30">
        <v>0</v>
      </c>
      <c r="W274" s="30">
        <v>0</v>
      </c>
      <c r="X274" s="30">
        <v>0</v>
      </c>
      <c r="Y274" s="30">
        <v>0</v>
      </c>
      <c r="Z274" s="30">
        <v>0</v>
      </c>
      <c r="AA274" s="30">
        <v>0</v>
      </c>
      <c r="AB274" s="30">
        <v>0</v>
      </c>
      <c r="AC274" s="30">
        <v>0</v>
      </c>
      <c r="AD274" s="30">
        <v>0</v>
      </c>
      <c r="AE274" s="30">
        <v>0</v>
      </c>
      <c r="AF274" s="30">
        <v>0</v>
      </c>
      <c r="AG274" s="30">
        <v>0</v>
      </c>
      <c r="AH274" s="30">
        <v>0</v>
      </c>
      <c r="AI274" s="30">
        <v>0</v>
      </c>
      <c r="AJ274" s="30">
        <v>0</v>
      </c>
      <c r="AK274" s="30">
        <v>0</v>
      </c>
      <c r="AL274" s="30"/>
      <c r="AM274" s="55">
        <f t="shared" si="36"/>
        <v>0</v>
      </c>
      <c r="AN274" s="55">
        <f t="shared" si="37"/>
        <v>0</v>
      </c>
      <c r="AO274" s="72"/>
      <c r="AP274" s="74" t="str">
        <f t="shared" si="38"/>
        <v/>
      </c>
      <c r="AQ274" s="74" t="str">
        <f t="shared" si="39"/>
        <v/>
      </c>
    </row>
    <row r="275" spans="1:43" ht="13.8" thickBot="1" x14ac:dyDescent="0.3">
      <c r="A275" s="68">
        <v>39</v>
      </c>
      <c r="B275" s="54"/>
      <c r="C275" s="54"/>
      <c r="D275" s="66"/>
      <c r="E275" s="66"/>
      <c r="F275" s="54"/>
      <c r="G275" s="54"/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  <c r="V275" s="30">
        <v>0</v>
      </c>
      <c r="W275" s="30">
        <v>0</v>
      </c>
      <c r="X275" s="30">
        <v>0</v>
      </c>
      <c r="Y275" s="30">
        <v>0</v>
      </c>
      <c r="Z275" s="30">
        <v>0</v>
      </c>
      <c r="AA275" s="30">
        <v>0</v>
      </c>
      <c r="AB275" s="30">
        <v>0</v>
      </c>
      <c r="AC275" s="30">
        <v>0</v>
      </c>
      <c r="AD275" s="30">
        <v>0</v>
      </c>
      <c r="AE275" s="30">
        <v>0</v>
      </c>
      <c r="AF275" s="30">
        <v>0</v>
      </c>
      <c r="AG275" s="30">
        <v>0</v>
      </c>
      <c r="AH275" s="30">
        <v>0</v>
      </c>
      <c r="AI275" s="30">
        <v>0</v>
      </c>
      <c r="AJ275" s="30">
        <v>0</v>
      </c>
      <c r="AK275" s="30">
        <v>0</v>
      </c>
      <c r="AL275" s="30"/>
      <c r="AM275" s="55">
        <f t="shared" si="36"/>
        <v>0</v>
      </c>
      <c r="AN275" s="55">
        <f t="shared" si="37"/>
        <v>0</v>
      </c>
      <c r="AO275" s="72"/>
      <c r="AP275" s="74" t="str">
        <f t="shared" si="38"/>
        <v/>
      </c>
      <c r="AQ275" s="74" t="str">
        <f t="shared" si="39"/>
        <v/>
      </c>
    </row>
    <row r="276" spans="1:43" ht="18.600000000000001" customHeight="1" thickBot="1" x14ac:dyDescent="0.3">
      <c r="A276" s="92"/>
      <c r="B276" s="93"/>
      <c r="C276" s="42"/>
      <c r="D276" s="42"/>
      <c r="E276" s="42"/>
      <c r="F276" s="42"/>
      <c r="G276" s="42"/>
      <c r="H276" s="55">
        <f t="shared" ref="H276:AN276" si="40">SUM(H236:H275)</f>
        <v>0</v>
      </c>
      <c r="I276" s="55">
        <f t="shared" si="40"/>
        <v>0</v>
      </c>
      <c r="J276" s="55">
        <f t="shared" si="40"/>
        <v>0</v>
      </c>
      <c r="K276" s="55">
        <f t="shared" si="40"/>
        <v>0</v>
      </c>
      <c r="L276" s="55">
        <f t="shared" si="40"/>
        <v>0</v>
      </c>
      <c r="M276" s="55">
        <f t="shared" si="40"/>
        <v>0</v>
      </c>
      <c r="N276" s="55">
        <f t="shared" si="40"/>
        <v>0</v>
      </c>
      <c r="O276" s="55">
        <f t="shared" si="40"/>
        <v>0</v>
      </c>
      <c r="P276" s="55">
        <f t="shared" si="40"/>
        <v>0</v>
      </c>
      <c r="Q276" s="55">
        <f t="shared" si="40"/>
        <v>0</v>
      </c>
      <c r="R276" s="55">
        <f t="shared" si="40"/>
        <v>0</v>
      </c>
      <c r="S276" s="55">
        <f t="shared" si="40"/>
        <v>0</v>
      </c>
      <c r="T276" s="55">
        <f t="shared" si="40"/>
        <v>0</v>
      </c>
      <c r="U276" s="55">
        <f t="shared" si="40"/>
        <v>0</v>
      </c>
      <c r="V276" s="55">
        <f t="shared" si="40"/>
        <v>0</v>
      </c>
      <c r="W276" s="55">
        <f t="shared" si="40"/>
        <v>0</v>
      </c>
      <c r="X276" s="55">
        <f t="shared" si="40"/>
        <v>0</v>
      </c>
      <c r="Y276" s="55">
        <f t="shared" si="40"/>
        <v>0</v>
      </c>
      <c r="Z276" s="55">
        <f t="shared" si="40"/>
        <v>0</v>
      </c>
      <c r="AA276" s="55">
        <f t="shared" si="40"/>
        <v>0</v>
      </c>
      <c r="AB276" s="55">
        <f t="shared" si="40"/>
        <v>0</v>
      </c>
      <c r="AC276" s="55">
        <f t="shared" si="40"/>
        <v>0</v>
      </c>
      <c r="AD276" s="55">
        <f t="shared" si="40"/>
        <v>0</v>
      </c>
      <c r="AE276" s="55">
        <f t="shared" si="40"/>
        <v>0</v>
      </c>
      <c r="AF276" s="55">
        <f t="shared" si="40"/>
        <v>0</v>
      </c>
      <c r="AG276" s="55">
        <f t="shared" si="40"/>
        <v>0</v>
      </c>
      <c r="AH276" s="55">
        <f t="shared" si="40"/>
        <v>0</v>
      </c>
      <c r="AI276" s="55">
        <f t="shared" si="40"/>
        <v>0</v>
      </c>
      <c r="AJ276" s="55">
        <f t="shared" si="40"/>
        <v>0</v>
      </c>
      <c r="AK276" s="55">
        <f t="shared" si="40"/>
        <v>0</v>
      </c>
      <c r="AL276" s="55">
        <f t="shared" si="40"/>
        <v>0</v>
      </c>
      <c r="AM276" s="30">
        <f t="shared" si="40"/>
        <v>0</v>
      </c>
      <c r="AN276" s="30">
        <f t="shared" si="40"/>
        <v>0</v>
      </c>
    </row>
    <row r="278" spans="1:43" ht="20.399999999999999" customHeight="1" x14ac:dyDescent="0.25">
      <c r="A278" s="92" t="s">
        <v>174</v>
      </c>
      <c r="B278" s="93"/>
      <c r="C278" s="42"/>
      <c r="D278" s="42"/>
      <c r="E278" s="42"/>
      <c r="F278" s="42"/>
      <c r="G278" s="42"/>
      <c r="H278" s="111">
        <v>45839</v>
      </c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  <c r="AA278" s="112"/>
      <c r="AB278" s="112"/>
      <c r="AC278" s="112"/>
      <c r="AD278" s="112"/>
      <c r="AE278" s="112"/>
      <c r="AF278" s="112"/>
      <c r="AG278" s="112"/>
      <c r="AH278" s="112"/>
      <c r="AI278" s="112"/>
      <c r="AJ278" s="112"/>
      <c r="AK278" s="112"/>
      <c r="AL278" s="112"/>
      <c r="AM278" s="140" t="s">
        <v>954</v>
      </c>
      <c r="AN278" s="146" t="s">
        <v>953</v>
      </c>
      <c r="AO278" s="148" t="s">
        <v>955</v>
      </c>
      <c r="AP278" s="144" t="s">
        <v>958</v>
      </c>
      <c r="AQ278" s="144"/>
    </row>
    <row r="279" spans="1:43" ht="34.799999999999997" customHeight="1" thickBot="1" x14ac:dyDescent="0.3">
      <c r="A279" s="138" t="s">
        <v>948</v>
      </c>
      <c r="B279" s="138" t="s">
        <v>947</v>
      </c>
      <c r="C279" s="138" t="s">
        <v>959</v>
      </c>
      <c r="D279" s="138" t="s">
        <v>949</v>
      </c>
      <c r="E279" s="138"/>
      <c r="F279" s="154" t="s">
        <v>192</v>
      </c>
      <c r="G279" s="142" t="s">
        <v>193</v>
      </c>
      <c r="H279" s="45">
        <v>1</v>
      </c>
      <c r="I279" s="45">
        <v>2</v>
      </c>
      <c r="J279" s="45">
        <v>3</v>
      </c>
      <c r="K279" s="45">
        <v>4</v>
      </c>
      <c r="L279" s="45">
        <v>5</v>
      </c>
      <c r="M279" s="45">
        <v>6</v>
      </c>
      <c r="N279" s="45">
        <v>7</v>
      </c>
      <c r="O279" s="45">
        <v>8</v>
      </c>
      <c r="P279" s="45">
        <v>9</v>
      </c>
      <c r="Q279" s="45">
        <v>10</v>
      </c>
      <c r="R279" s="45">
        <v>11</v>
      </c>
      <c r="S279" s="45">
        <v>12</v>
      </c>
      <c r="T279" s="45">
        <v>13</v>
      </c>
      <c r="U279" s="45">
        <v>14</v>
      </c>
      <c r="V279" s="45">
        <v>15</v>
      </c>
      <c r="W279" s="45">
        <v>16</v>
      </c>
      <c r="X279" s="45">
        <v>17</v>
      </c>
      <c r="Y279" s="45">
        <v>18</v>
      </c>
      <c r="Z279" s="45">
        <v>19</v>
      </c>
      <c r="AA279" s="45">
        <v>20</v>
      </c>
      <c r="AB279" s="45">
        <v>21</v>
      </c>
      <c r="AC279" s="45">
        <v>22</v>
      </c>
      <c r="AD279" s="45">
        <v>23</v>
      </c>
      <c r="AE279" s="45">
        <v>24</v>
      </c>
      <c r="AF279" s="45">
        <v>25</v>
      </c>
      <c r="AG279" s="45">
        <v>26</v>
      </c>
      <c r="AH279" s="45">
        <v>27</v>
      </c>
      <c r="AI279" s="45">
        <v>28</v>
      </c>
      <c r="AJ279" s="45">
        <v>29</v>
      </c>
      <c r="AK279" s="45">
        <v>30</v>
      </c>
      <c r="AL279" s="45" t="s">
        <v>177</v>
      </c>
      <c r="AM279" s="140"/>
      <c r="AN279" s="146"/>
      <c r="AO279" s="148"/>
      <c r="AP279" s="150" t="s">
        <v>956</v>
      </c>
      <c r="AQ279" s="152" t="s">
        <v>957</v>
      </c>
    </row>
    <row r="280" spans="1:43" ht="13.8" thickBot="1" x14ac:dyDescent="0.3">
      <c r="A280" s="139"/>
      <c r="B280" s="139"/>
      <c r="C280" s="145"/>
      <c r="D280" s="64" t="s">
        <v>950</v>
      </c>
      <c r="E280" s="64" t="s">
        <v>951</v>
      </c>
      <c r="F280" s="155"/>
      <c r="G280" s="143"/>
      <c r="H280" s="28" t="s">
        <v>24</v>
      </c>
      <c r="I280" s="28" t="s">
        <v>24</v>
      </c>
      <c r="J280" s="28" t="s">
        <v>180</v>
      </c>
      <c r="K280" s="28" t="s">
        <v>181</v>
      </c>
      <c r="L280" s="28" t="s">
        <v>182</v>
      </c>
      <c r="M280" s="28" t="s">
        <v>183</v>
      </c>
      <c r="N280" s="28" t="s">
        <v>179</v>
      </c>
      <c r="O280" s="28" t="s">
        <v>24</v>
      </c>
      <c r="P280" s="28" t="s">
        <v>24</v>
      </c>
      <c r="Q280" s="28" t="s">
        <v>180</v>
      </c>
      <c r="R280" s="28" t="s">
        <v>181</v>
      </c>
      <c r="S280" s="28" t="s">
        <v>182</v>
      </c>
      <c r="T280" s="28" t="s">
        <v>183</v>
      </c>
      <c r="U280" s="28" t="s">
        <v>179</v>
      </c>
      <c r="V280" s="28" t="s">
        <v>24</v>
      </c>
      <c r="W280" s="28" t="s">
        <v>24</v>
      </c>
      <c r="X280" s="28" t="s">
        <v>180</v>
      </c>
      <c r="Y280" s="28" t="s">
        <v>181</v>
      </c>
      <c r="Z280" s="28" t="s">
        <v>182</v>
      </c>
      <c r="AA280" s="28" t="s">
        <v>183</v>
      </c>
      <c r="AB280" s="28" t="s">
        <v>179</v>
      </c>
      <c r="AC280" s="28" t="s">
        <v>24</v>
      </c>
      <c r="AD280" s="28" t="s">
        <v>24</v>
      </c>
      <c r="AE280" s="28" t="s">
        <v>180</v>
      </c>
      <c r="AF280" s="28" t="s">
        <v>181</v>
      </c>
      <c r="AG280" s="28" t="s">
        <v>182</v>
      </c>
      <c r="AH280" s="28" t="s">
        <v>183</v>
      </c>
      <c r="AI280" s="28" t="s">
        <v>179</v>
      </c>
      <c r="AJ280" s="28" t="s">
        <v>24</v>
      </c>
      <c r="AK280" s="28" t="s">
        <v>24</v>
      </c>
      <c r="AL280" s="28" t="s">
        <v>180</v>
      </c>
      <c r="AM280" s="141"/>
      <c r="AN280" s="147"/>
      <c r="AO280" s="149"/>
      <c r="AP280" s="151"/>
      <c r="AQ280" s="153"/>
    </row>
    <row r="281" spans="1:43" ht="13.8" thickBot="1" x14ac:dyDescent="0.3">
      <c r="A281" s="68">
        <v>1</v>
      </c>
      <c r="B281" s="67" t="s">
        <v>965</v>
      </c>
      <c r="C281" s="66" t="s">
        <v>960</v>
      </c>
      <c r="D281" s="66" t="s">
        <v>213</v>
      </c>
      <c r="E281" s="69" t="s">
        <v>197</v>
      </c>
      <c r="F281" s="54"/>
      <c r="G281" s="54"/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30">
        <v>0</v>
      </c>
      <c r="AA281" s="30">
        <v>0</v>
      </c>
      <c r="AB281" s="30">
        <v>0</v>
      </c>
      <c r="AC281" s="30">
        <v>0</v>
      </c>
      <c r="AD281" s="30">
        <v>0</v>
      </c>
      <c r="AE281" s="30">
        <v>0</v>
      </c>
      <c r="AF281" s="30">
        <v>0</v>
      </c>
      <c r="AG281" s="30">
        <v>0</v>
      </c>
      <c r="AH281" s="30">
        <v>0</v>
      </c>
      <c r="AI281" s="30">
        <v>0</v>
      </c>
      <c r="AJ281" s="30">
        <v>0</v>
      </c>
      <c r="AK281" s="30">
        <v>0</v>
      </c>
      <c r="AL281" s="30">
        <v>0</v>
      </c>
      <c r="AM281" s="55">
        <f>SUM(H281:AL281)</f>
        <v>0</v>
      </c>
      <c r="AN281" s="55">
        <f>F281+G281-AM281</f>
        <v>0</v>
      </c>
      <c r="AO281" s="72"/>
      <c r="AP281" s="74" t="str">
        <f>IF(AO281="","",IF($A$2&lt;=AO281,IF((AO281-$A$2)&lt;=90,"ALERTA","A TIEMPO"),"CADUCADO"))</f>
        <v/>
      </c>
      <c r="AQ281" s="74" t="str">
        <f>IF(AO281="","",AO281-$A$2)</f>
        <v/>
      </c>
    </row>
    <row r="282" spans="1:43" ht="13.8" thickBot="1" x14ac:dyDescent="0.3">
      <c r="A282" s="68">
        <v>2</v>
      </c>
      <c r="B282" s="67" t="s">
        <v>965</v>
      </c>
      <c r="C282" s="66" t="s">
        <v>960</v>
      </c>
      <c r="D282" s="66" t="s">
        <v>224</v>
      </c>
      <c r="E282" s="71">
        <v>0.01</v>
      </c>
      <c r="F282" s="54"/>
      <c r="G282" s="54"/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0</v>
      </c>
      <c r="Q282" s="30">
        <v>0</v>
      </c>
      <c r="R282" s="30">
        <v>0</v>
      </c>
      <c r="S282" s="30">
        <v>0</v>
      </c>
      <c r="T282" s="30">
        <v>0</v>
      </c>
      <c r="U282" s="30">
        <v>0</v>
      </c>
      <c r="V282" s="30">
        <v>0</v>
      </c>
      <c r="W282" s="30">
        <v>0</v>
      </c>
      <c r="X282" s="30">
        <v>0</v>
      </c>
      <c r="Y282" s="30">
        <v>0</v>
      </c>
      <c r="Z282" s="30">
        <v>0</v>
      </c>
      <c r="AA282" s="30">
        <v>0</v>
      </c>
      <c r="AB282" s="30">
        <v>0</v>
      </c>
      <c r="AC282" s="30">
        <v>0</v>
      </c>
      <c r="AD282" s="30">
        <v>0</v>
      </c>
      <c r="AE282" s="30">
        <v>0</v>
      </c>
      <c r="AF282" s="30">
        <v>0</v>
      </c>
      <c r="AG282" s="30">
        <v>0</v>
      </c>
      <c r="AH282" s="30">
        <v>0</v>
      </c>
      <c r="AI282" s="30">
        <v>0</v>
      </c>
      <c r="AJ282" s="30">
        <v>0</v>
      </c>
      <c r="AK282" s="30">
        <v>0</v>
      </c>
      <c r="AL282" s="30">
        <v>0</v>
      </c>
      <c r="AM282" s="55">
        <f t="shared" ref="AM282:AM320" si="41">SUM(H282:AL282)</f>
        <v>0</v>
      </c>
      <c r="AN282" s="55">
        <f t="shared" ref="AN282:AN320" si="42">F282+G282-AM282</f>
        <v>0</v>
      </c>
      <c r="AO282" s="72"/>
      <c r="AP282" s="74" t="str">
        <f t="shared" ref="AP282:AP320" si="43">IF(AO282="","",IF($A$2&lt;=AO282,IF((AO282-$A$2)&lt;=90,"ALERTA","A TIEMPO"),"CADUCADO"))</f>
        <v/>
      </c>
      <c r="AQ282" s="74" t="str">
        <f t="shared" ref="AQ282:AQ320" si="44">IF(AO282="","",AO282-$A$2)</f>
        <v/>
      </c>
    </row>
    <row r="283" spans="1:43" ht="13.8" thickBot="1" x14ac:dyDescent="0.3">
      <c r="A283" s="68">
        <v>3</v>
      </c>
      <c r="B283" s="67" t="s">
        <v>211</v>
      </c>
      <c r="C283" s="66" t="s">
        <v>960</v>
      </c>
      <c r="D283" s="66" t="s">
        <v>198</v>
      </c>
      <c r="E283" s="69" t="s">
        <v>964</v>
      </c>
      <c r="F283" s="54"/>
      <c r="G283" s="54"/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  <c r="AF283" s="30">
        <v>0</v>
      </c>
      <c r="AG283" s="30">
        <v>0</v>
      </c>
      <c r="AH283" s="30">
        <v>0</v>
      </c>
      <c r="AI283" s="30">
        <v>0</v>
      </c>
      <c r="AJ283" s="30">
        <v>0</v>
      </c>
      <c r="AK283" s="30">
        <v>0</v>
      </c>
      <c r="AL283" s="30">
        <v>0</v>
      </c>
      <c r="AM283" s="55">
        <f t="shared" si="41"/>
        <v>0</v>
      </c>
      <c r="AN283" s="55">
        <f t="shared" si="42"/>
        <v>0</v>
      </c>
      <c r="AO283" s="72"/>
      <c r="AP283" s="74" t="str">
        <f t="shared" si="43"/>
        <v/>
      </c>
      <c r="AQ283" s="74" t="str">
        <f t="shared" si="44"/>
        <v/>
      </c>
    </row>
    <row r="284" spans="1:43" ht="13.8" thickBot="1" x14ac:dyDescent="0.3">
      <c r="A284" s="68">
        <v>4</v>
      </c>
      <c r="B284" s="67" t="s">
        <v>985</v>
      </c>
      <c r="C284" s="66" t="s">
        <v>960</v>
      </c>
      <c r="D284" s="66" t="s">
        <v>198</v>
      </c>
      <c r="E284" s="70" t="s">
        <v>986</v>
      </c>
      <c r="F284" s="54"/>
      <c r="G284" s="54"/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0</v>
      </c>
      <c r="Q284" s="30">
        <v>0</v>
      </c>
      <c r="R284" s="30">
        <v>0</v>
      </c>
      <c r="S284" s="30">
        <v>0</v>
      </c>
      <c r="T284" s="30">
        <v>0</v>
      </c>
      <c r="U284" s="30">
        <v>0</v>
      </c>
      <c r="V284" s="30">
        <v>0</v>
      </c>
      <c r="W284" s="30">
        <v>0</v>
      </c>
      <c r="X284" s="30">
        <v>0</v>
      </c>
      <c r="Y284" s="30">
        <v>0</v>
      </c>
      <c r="Z284" s="30">
        <v>0</v>
      </c>
      <c r="AA284" s="30">
        <v>0</v>
      </c>
      <c r="AB284" s="30">
        <v>0</v>
      </c>
      <c r="AC284" s="30">
        <v>0</v>
      </c>
      <c r="AD284" s="30">
        <v>0</v>
      </c>
      <c r="AE284" s="30">
        <v>0</v>
      </c>
      <c r="AF284" s="30">
        <v>0</v>
      </c>
      <c r="AG284" s="30">
        <v>0</v>
      </c>
      <c r="AH284" s="30">
        <v>0</v>
      </c>
      <c r="AI284" s="30">
        <v>0</v>
      </c>
      <c r="AJ284" s="30">
        <v>0</v>
      </c>
      <c r="AK284" s="30">
        <v>0</v>
      </c>
      <c r="AL284" s="30">
        <v>0</v>
      </c>
      <c r="AM284" s="55">
        <f t="shared" si="41"/>
        <v>0</v>
      </c>
      <c r="AN284" s="55">
        <f t="shared" si="42"/>
        <v>0</v>
      </c>
      <c r="AO284" s="72"/>
      <c r="AP284" s="74" t="str">
        <f t="shared" si="43"/>
        <v/>
      </c>
      <c r="AQ284" s="74" t="str">
        <f t="shared" si="44"/>
        <v/>
      </c>
    </row>
    <row r="285" spans="1:43" ht="13.8" thickBot="1" x14ac:dyDescent="0.3">
      <c r="A285" s="68">
        <v>4</v>
      </c>
      <c r="B285" s="67" t="s">
        <v>963</v>
      </c>
      <c r="C285" s="66" t="s">
        <v>960</v>
      </c>
      <c r="D285" s="66" t="s">
        <v>213</v>
      </c>
      <c r="E285" s="70" t="s">
        <v>13</v>
      </c>
      <c r="F285" s="54"/>
      <c r="G285" s="54"/>
      <c r="H285" s="30">
        <v>0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0">
        <v>0</v>
      </c>
      <c r="Q285" s="30">
        <v>0</v>
      </c>
      <c r="R285" s="30">
        <v>0</v>
      </c>
      <c r="S285" s="30">
        <v>0</v>
      </c>
      <c r="T285" s="30">
        <v>0</v>
      </c>
      <c r="U285" s="30">
        <v>0</v>
      </c>
      <c r="V285" s="30">
        <v>0</v>
      </c>
      <c r="W285" s="30">
        <v>0</v>
      </c>
      <c r="X285" s="30">
        <v>0</v>
      </c>
      <c r="Y285" s="30">
        <v>0</v>
      </c>
      <c r="Z285" s="30">
        <v>0</v>
      </c>
      <c r="AA285" s="30">
        <v>0</v>
      </c>
      <c r="AB285" s="30">
        <v>0</v>
      </c>
      <c r="AC285" s="30">
        <v>0</v>
      </c>
      <c r="AD285" s="30">
        <v>0</v>
      </c>
      <c r="AE285" s="30">
        <v>0</v>
      </c>
      <c r="AF285" s="30">
        <v>0</v>
      </c>
      <c r="AG285" s="30">
        <v>0</v>
      </c>
      <c r="AH285" s="30">
        <v>0</v>
      </c>
      <c r="AI285" s="30">
        <v>0</v>
      </c>
      <c r="AJ285" s="30">
        <v>0</v>
      </c>
      <c r="AK285" s="30">
        <v>0</v>
      </c>
      <c r="AL285" s="30">
        <v>0</v>
      </c>
      <c r="AM285" s="55">
        <f t="shared" si="41"/>
        <v>0</v>
      </c>
      <c r="AN285" s="55">
        <f t="shared" si="42"/>
        <v>0</v>
      </c>
      <c r="AO285" s="72"/>
      <c r="AP285" s="74" t="str">
        <f t="shared" si="43"/>
        <v/>
      </c>
      <c r="AQ285" s="74" t="str">
        <f t="shared" si="44"/>
        <v/>
      </c>
    </row>
    <row r="286" spans="1:43" ht="13.8" thickBot="1" x14ac:dyDescent="0.3">
      <c r="A286" s="68">
        <v>5</v>
      </c>
      <c r="B286" s="67" t="s">
        <v>228</v>
      </c>
      <c r="C286" s="66" t="s">
        <v>960</v>
      </c>
      <c r="D286" s="66" t="s">
        <v>213</v>
      </c>
      <c r="E286" s="69" t="s">
        <v>229</v>
      </c>
      <c r="F286" s="54"/>
      <c r="G286" s="54"/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0</v>
      </c>
      <c r="Q286" s="30">
        <v>0</v>
      </c>
      <c r="R286" s="30">
        <v>0</v>
      </c>
      <c r="S286" s="30">
        <v>0</v>
      </c>
      <c r="T286" s="30">
        <v>0</v>
      </c>
      <c r="U286" s="30">
        <v>0</v>
      </c>
      <c r="V286" s="30">
        <v>0</v>
      </c>
      <c r="W286" s="30">
        <v>0</v>
      </c>
      <c r="X286" s="30">
        <v>0</v>
      </c>
      <c r="Y286" s="30">
        <v>0</v>
      </c>
      <c r="Z286" s="30">
        <v>0</v>
      </c>
      <c r="AA286" s="30">
        <v>0</v>
      </c>
      <c r="AB286" s="30">
        <v>0</v>
      </c>
      <c r="AC286" s="30">
        <v>0</v>
      </c>
      <c r="AD286" s="30">
        <v>0</v>
      </c>
      <c r="AE286" s="30">
        <v>0</v>
      </c>
      <c r="AF286" s="30">
        <v>0</v>
      </c>
      <c r="AG286" s="30">
        <v>0</v>
      </c>
      <c r="AH286" s="30">
        <v>0</v>
      </c>
      <c r="AI286" s="30">
        <v>0</v>
      </c>
      <c r="AJ286" s="30">
        <v>0</v>
      </c>
      <c r="AK286" s="30">
        <v>0</v>
      </c>
      <c r="AL286" s="30">
        <v>0</v>
      </c>
      <c r="AM286" s="55">
        <f t="shared" si="41"/>
        <v>0</v>
      </c>
      <c r="AN286" s="55">
        <f t="shared" si="42"/>
        <v>0</v>
      </c>
      <c r="AO286" s="72"/>
      <c r="AP286" s="74" t="str">
        <f t="shared" si="43"/>
        <v/>
      </c>
      <c r="AQ286" s="74" t="str">
        <f t="shared" si="44"/>
        <v/>
      </c>
    </row>
    <row r="287" spans="1:43" ht="13.8" thickBot="1" x14ac:dyDescent="0.3">
      <c r="A287" s="68">
        <v>6</v>
      </c>
      <c r="B287" s="67" t="s">
        <v>968</v>
      </c>
      <c r="C287" s="66" t="s">
        <v>960</v>
      </c>
      <c r="D287" s="66" t="s">
        <v>198</v>
      </c>
      <c r="E287" s="69" t="s">
        <v>199</v>
      </c>
      <c r="F287" s="54"/>
      <c r="G287" s="54"/>
      <c r="H287" s="30">
        <v>0</v>
      </c>
      <c r="I287" s="30">
        <v>0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  <c r="R287" s="30">
        <v>0</v>
      </c>
      <c r="S287" s="30">
        <v>0</v>
      </c>
      <c r="T287" s="30">
        <v>0</v>
      </c>
      <c r="U287" s="30">
        <v>0</v>
      </c>
      <c r="V287" s="30">
        <v>0</v>
      </c>
      <c r="W287" s="30">
        <v>0</v>
      </c>
      <c r="X287" s="30">
        <v>0</v>
      </c>
      <c r="Y287" s="30">
        <v>0</v>
      </c>
      <c r="Z287" s="30">
        <v>0</v>
      </c>
      <c r="AA287" s="30">
        <v>0</v>
      </c>
      <c r="AB287" s="30">
        <v>0</v>
      </c>
      <c r="AC287" s="30">
        <v>0</v>
      </c>
      <c r="AD287" s="30">
        <v>0</v>
      </c>
      <c r="AE287" s="30">
        <v>0</v>
      </c>
      <c r="AF287" s="30">
        <v>0</v>
      </c>
      <c r="AG287" s="30">
        <v>0</v>
      </c>
      <c r="AH287" s="30">
        <v>0</v>
      </c>
      <c r="AI287" s="30">
        <v>0</v>
      </c>
      <c r="AJ287" s="30">
        <v>0</v>
      </c>
      <c r="AK287" s="30">
        <v>0</v>
      </c>
      <c r="AL287" s="30">
        <v>0</v>
      </c>
      <c r="AM287" s="55">
        <f t="shared" si="41"/>
        <v>0</v>
      </c>
      <c r="AN287" s="55">
        <f t="shared" si="42"/>
        <v>0</v>
      </c>
      <c r="AO287" s="72"/>
      <c r="AP287" s="74" t="str">
        <f t="shared" si="43"/>
        <v/>
      </c>
      <c r="AQ287" s="74" t="str">
        <f t="shared" si="44"/>
        <v/>
      </c>
    </row>
    <row r="288" spans="1:43" ht="13.8" thickBot="1" x14ac:dyDescent="0.3">
      <c r="A288" s="68">
        <v>7</v>
      </c>
      <c r="B288" s="67" t="s">
        <v>220</v>
      </c>
      <c r="C288" s="66" t="s">
        <v>960</v>
      </c>
      <c r="D288" s="66" t="s">
        <v>198</v>
      </c>
      <c r="E288" s="69" t="s">
        <v>195</v>
      </c>
      <c r="F288" s="54"/>
      <c r="G288" s="54"/>
      <c r="H288" s="30">
        <v>0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O288" s="30">
        <v>0</v>
      </c>
      <c r="P288" s="30">
        <v>0</v>
      </c>
      <c r="Q288" s="30">
        <v>0</v>
      </c>
      <c r="R288" s="30">
        <v>0</v>
      </c>
      <c r="S288" s="30">
        <v>0</v>
      </c>
      <c r="T288" s="30">
        <v>0</v>
      </c>
      <c r="U288" s="30">
        <v>0</v>
      </c>
      <c r="V288" s="30">
        <v>0</v>
      </c>
      <c r="W288" s="30">
        <v>0</v>
      </c>
      <c r="X288" s="30">
        <v>0</v>
      </c>
      <c r="Y288" s="30">
        <v>0</v>
      </c>
      <c r="Z288" s="30">
        <v>0</v>
      </c>
      <c r="AA288" s="30">
        <v>0</v>
      </c>
      <c r="AB288" s="30">
        <v>0</v>
      </c>
      <c r="AC288" s="30">
        <v>0</v>
      </c>
      <c r="AD288" s="30">
        <v>0</v>
      </c>
      <c r="AE288" s="30">
        <v>0</v>
      </c>
      <c r="AF288" s="30">
        <v>0</v>
      </c>
      <c r="AG288" s="30">
        <v>0</v>
      </c>
      <c r="AH288" s="30">
        <v>0</v>
      </c>
      <c r="AI288" s="30">
        <v>0</v>
      </c>
      <c r="AJ288" s="30">
        <v>0</v>
      </c>
      <c r="AK288" s="30">
        <v>0</v>
      </c>
      <c r="AL288" s="30">
        <v>0</v>
      </c>
      <c r="AM288" s="55">
        <f t="shared" si="41"/>
        <v>0</v>
      </c>
      <c r="AN288" s="55">
        <f t="shared" si="42"/>
        <v>0</v>
      </c>
      <c r="AO288" s="72"/>
      <c r="AP288" s="74" t="str">
        <f t="shared" si="43"/>
        <v/>
      </c>
      <c r="AQ288" s="74" t="str">
        <f t="shared" si="44"/>
        <v/>
      </c>
    </row>
    <row r="289" spans="1:43" ht="13.8" thickBot="1" x14ac:dyDescent="0.3">
      <c r="A289" s="68">
        <v>8</v>
      </c>
      <c r="B289" s="67" t="s">
        <v>962</v>
      </c>
      <c r="C289" s="66" t="s">
        <v>960</v>
      </c>
      <c r="D289" s="66" t="s">
        <v>198</v>
      </c>
      <c r="E289" s="69" t="s">
        <v>961</v>
      </c>
      <c r="F289" s="54"/>
      <c r="G289" s="54"/>
      <c r="H289" s="30">
        <v>0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0</v>
      </c>
      <c r="P289" s="30">
        <v>0</v>
      </c>
      <c r="Q289" s="30">
        <v>0</v>
      </c>
      <c r="R289" s="30">
        <v>0</v>
      </c>
      <c r="S289" s="30">
        <v>0</v>
      </c>
      <c r="T289" s="30">
        <v>0</v>
      </c>
      <c r="U289" s="30">
        <v>0</v>
      </c>
      <c r="V289" s="30">
        <v>0</v>
      </c>
      <c r="W289" s="30">
        <v>0</v>
      </c>
      <c r="X289" s="30">
        <v>0</v>
      </c>
      <c r="Y289" s="30">
        <v>0</v>
      </c>
      <c r="Z289" s="30">
        <v>0</v>
      </c>
      <c r="AA289" s="30">
        <v>0</v>
      </c>
      <c r="AB289" s="30">
        <v>0</v>
      </c>
      <c r="AC289" s="30">
        <v>0</v>
      </c>
      <c r="AD289" s="30">
        <v>0</v>
      </c>
      <c r="AE289" s="30">
        <v>0</v>
      </c>
      <c r="AF289" s="30">
        <v>0</v>
      </c>
      <c r="AG289" s="30">
        <v>0</v>
      </c>
      <c r="AH289" s="30">
        <v>0</v>
      </c>
      <c r="AI289" s="30">
        <v>0</v>
      </c>
      <c r="AJ289" s="30">
        <v>0</v>
      </c>
      <c r="AK289" s="30">
        <v>0</v>
      </c>
      <c r="AL289" s="30">
        <v>0</v>
      </c>
      <c r="AM289" s="55">
        <f t="shared" si="41"/>
        <v>0</v>
      </c>
      <c r="AN289" s="55">
        <f t="shared" si="42"/>
        <v>0</v>
      </c>
      <c r="AO289" s="72"/>
      <c r="AP289" s="74" t="str">
        <f t="shared" si="43"/>
        <v/>
      </c>
      <c r="AQ289" s="74" t="str">
        <f t="shared" si="44"/>
        <v/>
      </c>
    </row>
    <row r="290" spans="1:43" ht="13.8" thickBot="1" x14ac:dyDescent="0.3">
      <c r="A290" s="68">
        <v>9</v>
      </c>
      <c r="B290" s="67" t="s">
        <v>966</v>
      </c>
      <c r="C290" s="66" t="s">
        <v>960</v>
      </c>
      <c r="D290" s="66" t="s">
        <v>201</v>
      </c>
      <c r="E290" s="69" t="s">
        <v>967</v>
      </c>
      <c r="F290" s="54"/>
      <c r="G290" s="54"/>
      <c r="H290" s="30">
        <v>0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>
        <v>0</v>
      </c>
      <c r="S290" s="30">
        <v>0</v>
      </c>
      <c r="T290" s="30">
        <v>0</v>
      </c>
      <c r="U290" s="30">
        <v>0</v>
      </c>
      <c r="V290" s="30">
        <v>0</v>
      </c>
      <c r="W290" s="30">
        <v>0</v>
      </c>
      <c r="X290" s="30">
        <v>0</v>
      </c>
      <c r="Y290" s="30">
        <v>0</v>
      </c>
      <c r="Z290" s="30">
        <v>0</v>
      </c>
      <c r="AA290" s="30">
        <v>0</v>
      </c>
      <c r="AB290" s="30">
        <v>0</v>
      </c>
      <c r="AC290" s="30">
        <v>0</v>
      </c>
      <c r="AD290" s="30">
        <v>0</v>
      </c>
      <c r="AE290" s="30">
        <v>0</v>
      </c>
      <c r="AF290" s="30">
        <v>0</v>
      </c>
      <c r="AG290" s="30">
        <v>0</v>
      </c>
      <c r="AH290" s="30">
        <v>0</v>
      </c>
      <c r="AI290" s="30">
        <v>0</v>
      </c>
      <c r="AJ290" s="30">
        <v>0</v>
      </c>
      <c r="AK290" s="30">
        <v>0</v>
      </c>
      <c r="AL290" s="30">
        <v>0</v>
      </c>
      <c r="AM290" s="55">
        <f t="shared" si="41"/>
        <v>0</v>
      </c>
      <c r="AN290" s="55">
        <f t="shared" si="42"/>
        <v>0</v>
      </c>
      <c r="AO290" s="72"/>
      <c r="AP290" s="74" t="str">
        <f t="shared" si="43"/>
        <v/>
      </c>
      <c r="AQ290" s="74" t="str">
        <f t="shared" si="44"/>
        <v/>
      </c>
    </row>
    <row r="291" spans="1:43" ht="13.8" thickBot="1" x14ac:dyDescent="0.3">
      <c r="A291" s="68">
        <v>10</v>
      </c>
      <c r="B291" s="67" t="s">
        <v>194</v>
      </c>
      <c r="C291" s="66" t="s">
        <v>969</v>
      </c>
      <c r="D291" s="66" t="s">
        <v>198</v>
      </c>
      <c r="E291" s="69" t="s">
        <v>195</v>
      </c>
      <c r="F291" s="54"/>
      <c r="G291" s="54"/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0">
        <v>0</v>
      </c>
      <c r="AI291" s="30">
        <v>0</v>
      </c>
      <c r="AJ291" s="30">
        <v>0</v>
      </c>
      <c r="AK291" s="30">
        <v>0</v>
      </c>
      <c r="AL291" s="30">
        <v>0</v>
      </c>
      <c r="AM291" s="55">
        <f t="shared" si="41"/>
        <v>0</v>
      </c>
      <c r="AN291" s="55">
        <f t="shared" si="42"/>
        <v>0</v>
      </c>
      <c r="AO291" s="72"/>
      <c r="AP291" s="74" t="str">
        <f t="shared" si="43"/>
        <v/>
      </c>
      <c r="AQ291" s="74" t="str">
        <f t="shared" si="44"/>
        <v/>
      </c>
    </row>
    <row r="292" spans="1:43" ht="13.8" thickBot="1" x14ac:dyDescent="0.3">
      <c r="A292" s="68">
        <v>11</v>
      </c>
      <c r="B292" s="67" t="s">
        <v>200</v>
      </c>
      <c r="C292" s="66" t="s">
        <v>969</v>
      </c>
      <c r="D292" s="66" t="s">
        <v>198</v>
      </c>
      <c r="E292" s="69" t="s">
        <v>970</v>
      </c>
      <c r="F292" s="54"/>
      <c r="G292" s="54"/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0</v>
      </c>
      <c r="R292" s="30">
        <v>0</v>
      </c>
      <c r="S292" s="30">
        <v>0</v>
      </c>
      <c r="T292" s="30">
        <v>0</v>
      </c>
      <c r="U292" s="30">
        <v>0</v>
      </c>
      <c r="V292" s="30">
        <v>0</v>
      </c>
      <c r="W292" s="30">
        <v>0</v>
      </c>
      <c r="X292" s="30">
        <v>0</v>
      </c>
      <c r="Y292" s="30">
        <v>0</v>
      </c>
      <c r="Z292" s="30">
        <v>0</v>
      </c>
      <c r="AA292" s="30">
        <v>0</v>
      </c>
      <c r="AB292" s="30">
        <v>0</v>
      </c>
      <c r="AC292" s="30">
        <v>0</v>
      </c>
      <c r="AD292" s="30">
        <v>0</v>
      </c>
      <c r="AE292" s="30">
        <v>0</v>
      </c>
      <c r="AF292" s="30">
        <v>0</v>
      </c>
      <c r="AG292" s="30">
        <v>0</v>
      </c>
      <c r="AH292" s="30">
        <v>0</v>
      </c>
      <c r="AI292" s="30">
        <v>0</v>
      </c>
      <c r="AJ292" s="30">
        <v>0</v>
      </c>
      <c r="AK292" s="30">
        <v>0</v>
      </c>
      <c r="AL292" s="30">
        <v>0</v>
      </c>
      <c r="AM292" s="55">
        <f t="shared" si="41"/>
        <v>0</v>
      </c>
      <c r="AN292" s="55">
        <f t="shared" si="42"/>
        <v>0</v>
      </c>
      <c r="AO292" s="72"/>
      <c r="AP292" s="74" t="str">
        <f t="shared" si="43"/>
        <v/>
      </c>
      <c r="AQ292" s="74" t="str">
        <f t="shared" si="44"/>
        <v/>
      </c>
    </row>
    <row r="293" spans="1:43" ht="13.8" thickBot="1" x14ac:dyDescent="0.3">
      <c r="A293" s="68">
        <v>12</v>
      </c>
      <c r="B293" s="67" t="s">
        <v>972</v>
      </c>
      <c r="C293" s="69" t="s">
        <v>971</v>
      </c>
      <c r="D293" s="66" t="s">
        <v>213</v>
      </c>
      <c r="E293" s="69" t="s">
        <v>203</v>
      </c>
      <c r="F293" s="54"/>
      <c r="G293" s="54"/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0</v>
      </c>
      <c r="Q293" s="30">
        <v>0</v>
      </c>
      <c r="R293" s="30">
        <v>0</v>
      </c>
      <c r="S293" s="30">
        <v>0</v>
      </c>
      <c r="T293" s="30">
        <v>0</v>
      </c>
      <c r="U293" s="30">
        <v>0</v>
      </c>
      <c r="V293" s="30">
        <v>0</v>
      </c>
      <c r="W293" s="30">
        <v>0</v>
      </c>
      <c r="X293" s="30">
        <v>0</v>
      </c>
      <c r="Y293" s="30">
        <v>0</v>
      </c>
      <c r="Z293" s="30">
        <v>0</v>
      </c>
      <c r="AA293" s="30">
        <v>0</v>
      </c>
      <c r="AB293" s="30">
        <v>0</v>
      </c>
      <c r="AC293" s="30">
        <v>0</v>
      </c>
      <c r="AD293" s="30">
        <v>0</v>
      </c>
      <c r="AE293" s="30">
        <v>0</v>
      </c>
      <c r="AF293" s="30">
        <v>0</v>
      </c>
      <c r="AG293" s="30">
        <v>0</v>
      </c>
      <c r="AH293" s="30">
        <v>0</v>
      </c>
      <c r="AI293" s="30">
        <v>0</v>
      </c>
      <c r="AJ293" s="30">
        <v>0</v>
      </c>
      <c r="AK293" s="30">
        <v>0</v>
      </c>
      <c r="AL293" s="30">
        <v>0</v>
      </c>
      <c r="AM293" s="55">
        <f t="shared" si="41"/>
        <v>0</v>
      </c>
      <c r="AN293" s="55">
        <f t="shared" si="42"/>
        <v>0</v>
      </c>
      <c r="AO293" s="72"/>
      <c r="AP293" s="74" t="str">
        <f t="shared" si="43"/>
        <v/>
      </c>
      <c r="AQ293" s="74" t="str">
        <f t="shared" si="44"/>
        <v/>
      </c>
    </row>
    <row r="294" spans="1:43" ht="13.8" thickBot="1" x14ac:dyDescent="0.3">
      <c r="A294" s="68">
        <v>13</v>
      </c>
      <c r="B294" s="67" t="s">
        <v>212</v>
      </c>
      <c r="C294" s="69" t="s">
        <v>971</v>
      </c>
      <c r="D294" s="66" t="s">
        <v>213</v>
      </c>
      <c r="E294" s="69" t="s">
        <v>203</v>
      </c>
      <c r="F294" s="54"/>
      <c r="G294" s="54"/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0</v>
      </c>
      <c r="Q294" s="30">
        <v>0</v>
      </c>
      <c r="R294" s="30">
        <v>0</v>
      </c>
      <c r="S294" s="30">
        <v>0</v>
      </c>
      <c r="T294" s="30">
        <v>0</v>
      </c>
      <c r="U294" s="30">
        <v>0</v>
      </c>
      <c r="V294" s="30">
        <v>0</v>
      </c>
      <c r="W294" s="30">
        <v>0</v>
      </c>
      <c r="X294" s="30">
        <v>0</v>
      </c>
      <c r="Y294" s="30">
        <v>0</v>
      </c>
      <c r="Z294" s="30">
        <v>0</v>
      </c>
      <c r="AA294" s="30">
        <v>0</v>
      </c>
      <c r="AB294" s="30">
        <v>0</v>
      </c>
      <c r="AC294" s="30">
        <v>0</v>
      </c>
      <c r="AD294" s="30">
        <v>0</v>
      </c>
      <c r="AE294" s="30">
        <v>0</v>
      </c>
      <c r="AF294" s="30">
        <v>0</v>
      </c>
      <c r="AG294" s="30">
        <v>0</v>
      </c>
      <c r="AH294" s="30">
        <v>0</v>
      </c>
      <c r="AI294" s="30">
        <v>0</v>
      </c>
      <c r="AJ294" s="30">
        <v>0</v>
      </c>
      <c r="AK294" s="30">
        <v>0</v>
      </c>
      <c r="AL294" s="30">
        <v>0</v>
      </c>
      <c r="AM294" s="55">
        <f t="shared" si="41"/>
        <v>0</v>
      </c>
      <c r="AN294" s="55">
        <f t="shared" si="42"/>
        <v>0</v>
      </c>
      <c r="AO294" s="72"/>
      <c r="AP294" s="74" t="str">
        <f t="shared" si="43"/>
        <v/>
      </c>
      <c r="AQ294" s="74" t="str">
        <f t="shared" si="44"/>
        <v/>
      </c>
    </row>
    <row r="295" spans="1:43" ht="13.8" thickBot="1" x14ac:dyDescent="0.3">
      <c r="A295" s="68">
        <v>14</v>
      </c>
      <c r="B295" s="67" t="s">
        <v>204</v>
      </c>
      <c r="C295" s="69" t="s">
        <v>46</v>
      </c>
      <c r="D295" s="66" t="s">
        <v>198</v>
      </c>
      <c r="E295" s="70" t="s">
        <v>13</v>
      </c>
      <c r="F295" s="54"/>
      <c r="G295" s="54"/>
      <c r="H295" s="30">
        <v>0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  <c r="R295" s="30">
        <v>0</v>
      </c>
      <c r="S295" s="30">
        <v>0</v>
      </c>
      <c r="T295" s="30">
        <v>0</v>
      </c>
      <c r="U295" s="30">
        <v>0</v>
      </c>
      <c r="V295" s="30">
        <v>0</v>
      </c>
      <c r="W295" s="30">
        <v>0</v>
      </c>
      <c r="X295" s="30">
        <v>0</v>
      </c>
      <c r="Y295" s="30">
        <v>0</v>
      </c>
      <c r="Z295" s="30">
        <v>0</v>
      </c>
      <c r="AA295" s="30">
        <v>0</v>
      </c>
      <c r="AB295" s="30">
        <v>0</v>
      </c>
      <c r="AC295" s="30">
        <v>0</v>
      </c>
      <c r="AD295" s="30">
        <v>0</v>
      </c>
      <c r="AE295" s="30">
        <v>0</v>
      </c>
      <c r="AF295" s="30">
        <v>0</v>
      </c>
      <c r="AG295" s="30">
        <v>0</v>
      </c>
      <c r="AH295" s="30">
        <v>0</v>
      </c>
      <c r="AI295" s="30">
        <v>0</v>
      </c>
      <c r="AJ295" s="30">
        <v>0</v>
      </c>
      <c r="AK295" s="30">
        <v>0</v>
      </c>
      <c r="AL295" s="30">
        <v>0</v>
      </c>
      <c r="AM295" s="55">
        <f t="shared" si="41"/>
        <v>0</v>
      </c>
      <c r="AN295" s="55">
        <f t="shared" si="42"/>
        <v>0</v>
      </c>
      <c r="AO295" s="72"/>
      <c r="AP295" s="74" t="str">
        <f t="shared" si="43"/>
        <v/>
      </c>
      <c r="AQ295" s="74" t="str">
        <f t="shared" si="44"/>
        <v/>
      </c>
    </row>
    <row r="296" spans="1:43" ht="13.8" thickBot="1" x14ac:dyDescent="0.3">
      <c r="A296" s="68">
        <v>15</v>
      </c>
      <c r="B296" s="67" t="s">
        <v>973</v>
      </c>
      <c r="C296" s="69" t="s">
        <v>46</v>
      </c>
      <c r="D296" s="66" t="s">
        <v>201</v>
      </c>
      <c r="E296" s="69" t="s">
        <v>203</v>
      </c>
      <c r="F296" s="54"/>
      <c r="G296" s="54"/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0</v>
      </c>
      <c r="Q296" s="30">
        <v>0</v>
      </c>
      <c r="R296" s="30">
        <v>0</v>
      </c>
      <c r="S296" s="30">
        <v>0</v>
      </c>
      <c r="T296" s="30">
        <v>0</v>
      </c>
      <c r="U296" s="30">
        <v>0</v>
      </c>
      <c r="V296" s="30">
        <v>0</v>
      </c>
      <c r="W296" s="30">
        <v>0</v>
      </c>
      <c r="X296" s="30">
        <v>0</v>
      </c>
      <c r="Y296" s="30">
        <v>0</v>
      </c>
      <c r="Z296" s="30">
        <v>0</v>
      </c>
      <c r="AA296" s="30">
        <v>0</v>
      </c>
      <c r="AB296" s="30">
        <v>0</v>
      </c>
      <c r="AC296" s="30">
        <v>0</v>
      </c>
      <c r="AD296" s="30">
        <v>0</v>
      </c>
      <c r="AE296" s="30">
        <v>0</v>
      </c>
      <c r="AF296" s="30">
        <v>0</v>
      </c>
      <c r="AG296" s="30">
        <v>0</v>
      </c>
      <c r="AH296" s="30">
        <v>0</v>
      </c>
      <c r="AI296" s="30">
        <v>0</v>
      </c>
      <c r="AJ296" s="30">
        <v>0</v>
      </c>
      <c r="AK296" s="30">
        <v>0</v>
      </c>
      <c r="AL296" s="30">
        <v>0</v>
      </c>
      <c r="AM296" s="55">
        <f t="shared" si="41"/>
        <v>0</v>
      </c>
      <c r="AN296" s="55">
        <f t="shared" si="42"/>
        <v>0</v>
      </c>
      <c r="AO296" s="72"/>
      <c r="AP296" s="74" t="str">
        <f t="shared" si="43"/>
        <v/>
      </c>
      <c r="AQ296" s="74" t="str">
        <f t="shared" si="44"/>
        <v/>
      </c>
    </row>
    <row r="297" spans="1:43" ht="13.8" thickBot="1" x14ac:dyDescent="0.3">
      <c r="A297" s="68">
        <v>16</v>
      </c>
      <c r="B297" s="67" t="s">
        <v>218</v>
      </c>
      <c r="C297" s="69" t="s">
        <v>46</v>
      </c>
      <c r="D297" s="66" t="s">
        <v>198</v>
      </c>
      <c r="E297" s="69" t="s">
        <v>975</v>
      </c>
      <c r="F297" s="54"/>
      <c r="G297" s="54"/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30">
        <v>0</v>
      </c>
      <c r="R297" s="30">
        <v>0</v>
      </c>
      <c r="S297" s="30">
        <v>0</v>
      </c>
      <c r="T297" s="30">
        <v>0</v>
      </c>
      <c r="U297" s="30">
        <v>0</v>
      </c>
      <c r="V297" s="30">
        <v>0</v>
      </c>
      <c r="W297" s="30">
        <v>0</v>
      </c>
      <c r="X297" s="30">
        <v>0</v>
      </c>
      <c r="Y297" s="30">
        <v>0</v>
      </c>
      <c r="Z297" s="30">
        <v>0</v>
      </c>
      <c r="AA297" s="30">
        <v>0</v>
      </c>
      <c r="AB297" s="30">
        <v>0</v>
      </c>
      <c r="AC297" s="30">
        <v>0</v>
      </c>
      <c r="AD297" s="30">
        <v>0</v>
      </c>
      <c r="AE297" s="30">
        <v>0</v>
      </c>
      <c r="AF297" s="30">
        <v>0</v>
      </c>
      <c r="AG297" s="30">
        <v>0</v>
      </c>
      <c r="AH297" s="30">
        <v>0</v>
      </c>
      <c r="AI297" s="30">
        <v>0</v>
      </c>
      <c r="AJ297" s="30">
        <v>0</v>
      </c>
      <c r="AK297" s="30">
        <v>0</v>
      </c>
      <c r="AL297" s="30">
        <v>0</v>
      </c>
      <c r="AM297" s="55">
        <f t="shared" si="41"/>
        <v>0</v>
      </c>
      <c r="AN297" s="55">
        <f t="shared" si="42"/>
        <v>0</v>
      </c>
      <c r="AO297" s="72"/>
      <c r="AP297" s="74" t="str">
        <f t="shared" si="43"/>
        <v/>
      </c>
      <c r="AQ297" s="74" t="str">
        <f t="shared" si="44"/>
        <v/>
      </c>
    </row>
    <row r="298" spans="1:43" ht="13.8" thickBot="1" x14ac:dyDescent="0.3">
      <c r="A298" s="68">
        <v>17</v>
      </c>
      <c r="B298" s="67" t="s">
        <v>974</v>
      </c>
      <c r="C298" s="69" t="s">
        <v>46</v>
      </c>
      <c r="D298" s="66" t="s">
        <v>210</v>
      </c>
      <c r="E298" s="70" t="s">
        <v>13</v>
      </c>
      <c r="F298" s="54"/>
      <c r="G298" s="54"/>
      <c r="H298" s="30">
        <v>0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0</v>
      </c>
      <c r="P298" s="30">
        <v>0</v>
      </c>
      <c r="Q298" s="30">
        <v>0</v>
      </c>
      <c r="R298" s="30">
        <v>0</v>
      </c>
      <c r="S298" s="30">
        <v>0</v>
      </c>
      <c r="T298" s="30">
        <v>0</v>
      </c>
      <c r="U298" s="30">
        <v>0</v>
      </c>
      <c r="V298" s="30">
        <v>0</v>
      </c>
      <c r="W298" s="30">
        <v>0</v>
      </c>
      <c r="X298" s="30">
        <v>0</v>
      </c>
      <c r="Y298" s="30">
        <v>0</v>
      </c>
      <c r="Z298" s="30">
        <v>0</v>
      </c>
      <c r="AA298" s="30">
        <v>0</v>
      </c>
      <c r="AB298" s="30">
        <v>0</v>
      </c>
      <c r="AC298" s="30">
        <v>0</v>
      </c>
      <c r="AD298" s="30">
        <v>0</v>
      </c>
      <c r="AE298" s="30">
        <v>0</v>
      </c>
      <c r="AF298" s="30">
        <v>0</v>
      </c>
      <c r="AG298" s="30">
        <v>0</v>
      </c>
      <c r="AH298" s="30">
        <v>0</v>
      </c>
      <c r="AI298" s="30">
        <v>0</v>
      </c>
      <c r="AJ298" s="30">
        <v>0</v>
      </c>
      <c r="AK298" s="30">
        <v>0</v>
      </c>
      <c r="AL298" s="30">
        <v>0</v>
      </c>
      <c r="AM298" s="55">
        <f t="shared" si="41"/>
        <v>0</v>
      </c>
      <c r="AN298" s="55">
        <f t="shared" si="42"/>
        <v>0</v>
      </c>
      <c r="AO298" s="72"/>
      <c r="AP298" s="74" t="str">
        <f t="shared" si="43"/>
        <v/>
      </c>
      <c r="AQ298" s="74" t="str">
        <f t="shared" si="44"/>
        <v/>
      </c>
    </row>
    <row r="299" spans="1:43" ht="13.8" thickBot="1" x14ac:dyDescent="0.3">
      <c r="A299" s="68">
        <v>18</v>
      </c>
      <c r="B299" s="67" t="s">
        <v>221</v>
      </c>
      <c r="C299" s="69" t="s">
        <v>46</v>
      </c>
      <c r="D299" s="66" t="s">
        <v>976</v>
      </c>
      <c r="E299" s="70" t="s">
        <v>13</v>
      </c>
      <c r="F299" s="54"/>
      <c r="G299" s="54"/>
      <c r="H299" s="30">
        <v>0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  <c r="P299" s="30">
        <v>0</v>
      </c>
      <c r="Q299" s="30">
        <v>0</v>
      </c>
      <c r="R299" s="30">
        <v>0</v>
      </c>
      <c r="S299" s="30">
        <v>0</v>
      </c>
      <c r="T299" s="30">
        <v>0</v>
      </c>
      <c r="U299" s="30">
        <v>0</v>
      </c>
      <c r="V299" s="30">
        <v>0</v>
      </c>
      <c r="W299" s="30">
        <v>0</v>
      </c>
      <c r="X299" s="30">
        <v>0</v>
      </c>
      <c r="Y299" s="30">
        <v>0</v>
      </c>
      <c r="Z299" s="30">
        <v>0</v>
      </c>
      <c r="AA299" s="30">
        <v>0</v>
      </c>
      <c r="AB299" s="30">
        <v>0</v>
      </c>
      <c r="AC299" s="30">
        <v>0</v>
      </c>
      <c r="AD299" s="30">
        <v>0</v>
      </c>
      <c r="AE299" s="30">
        <v>0</v>
      </c>
      <c r="AF299" s="30">
        <v>0</v>
      </c>
      <c r="AG299" s="30">
        <v>0</v>
      </c>
      <c r="AH299" s="30">
        <v>0</v>
      </c>
      <c r="AI299" s="30">
        <v>0</v>
      </c>
      <c r="AJ299" s="30">
        <v>0</v>
      </c>
      <c r="AK299" s="30">
        <v>0</v>
      </c>
      <c r="AL299" s="30">
        <v>0</v>
      </c>
      <c r="AM299" s="55">
        <f t="shared" si="41"/>
        <v>0</v>
      </c>
      <c r="AN299" s="55">
        <f t="shared" si="42"/>
        <v>0</v>
      </c>
      <c r="AO299" s="72"/>
      <c r="AP299" s="74" t="str">
        <f t="shared" si="43"/>
        <v/>
      </c>
      <c r="AQ299" s="74" t="str">
        <f t="shared" si="44"/>
        <v/>
      </c>
    </row>
    <row r="300" spans="1:43" ht="13.8" thickBot="1" x14ac:dyDescent="0.3">
      <c r="A300" s="68">
        <v>19</v>
      </c>
      <c r="B300" s="67" t="s">
        <v>223</v>
      </c>
      <c r="C300" s="69" t="s">
        <v>977</v>
      </c>
      <c r="D300" s="66" t="s">
        <v>224</v>
      </c>
      <c r="E300" s="69" t="s">
        <v>978</v>
      </c>
      <c r="F300" s="54"/>
      <c r="G300" s="54"/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0</v>
      </c>
      <c r="P300" s="30">
        <v>0</v>
      </c>
      <c r="Q300" s="30">
        <v>0</v>
      </c>
      <c r="R300" s="30">
        <v>0</v>
      </c>
      <c r="S300" s="30">
        <v>0</v>
      </c>
      <c r="T300" s="30">
        <v>0</v>
      </c>
      <c r="U300" s="30">
        <v>0</v>
      </c>
      <c r="V300" s="30">
        <v>0</v>
      </c>
      <c r="W300" s="30">
        <v>0</v>
      </c>
      <c r="X300" s="30">
        <v>0</v>
      </c>
      <c r="Y300" s="30">
        <v>0</v>
      </c>
      <c r="Z300" s="30">
        <v>0</v>
      </c>
      <c r="AA300" s="30">
        <v>0</v>
      </c>
      <c r="AB300" s="30">
        <v>0</v>
      </c>
      <c r="AC300" s="30">
        <v>0</v>
      </c>
      <c r="AD300" s="30">
        <v>0</v>
      </c>
      <c r="AE300" s="30">
        <v>0</v>
      </c>
      <c r="AF300" s="30">
        <v>0</v>
      </c>
      <c r="AG300" s="30">
        <v>0</v>
      </c>
      <c r="AH300" s="30">
        <v>0</v>
      </c>
      <c r="AI300" s="30">
        <v>0</v>
      </c>
      <c r="AJ300" s="30">
        <v>0</v>
      </c>
      <c r="AK300" s="30">
        <v>0</v>
      </c>
      <c r="AL300" s="30">
        <v>0</v>
      </c>
      <c r="AM300" s="55">
        <f t="shared" si="41"/>
        <v>0</v>
      </c>
      <c r="AN300" s="55">
        <f t="shared" si="42"/>
        <v>0</v>
      </c>
      <c r="AO300" s="72"/>
      <c r="AP300" s="74" t="str">
        <f t="shared" si="43"/>
        <v/>
      </c>
      <c r="AQ300" s="74" t="str">
        <f t="shared" si="44"/>
        <v/>
      </c>
    </row>
    <row r="301" spans="1:43" ht="13.8" thickBot="1" x14ac:dyDescent="0.3">
      <c r="A301" s="68">
        <v>20</v>
      </c>
      <c r="B301" s="67" t="s">
        <v>205</v>
      </c>
      <c r="C301" s="69" t="s">
        <v>979</v>
      </c>
      <c r="D301" s="66" t="s">
        <v>201</v>
      </c>
      <c r="E301" s="70" t="s">
        <v>13</v>
      </c>
      <c r="F301" s="54"/>
      <c r="G301" s="54"/>
      <c r="H301" s="30">
        <v>0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0">
        <v>0</v>
      </c>
      <c r="Q301" s="30">
        <v>0</v>
      </c>
      <c r="R301" s="30">
        <v>0</v>
      </c>
      <c r="S301" s="30">
        <v>0</v>
      </c>
      <c r="T301" s="30">
        <v>0</v>
      </c>
      <c r="U301" s="30">
        <v>0</v>
      </c>
      <c r="V301" s="30">
        <v>0</v>
      </c>
      <c r="W301" s="30">
        <v>0</v>
      </c>
      <c r="X301" s="30">
        <v>0</v>
      </c>
      <c r="Y301" s="30">
        <v>0</v>
      </c>
      <c r="Z301" s="30">
        <v>0</v>
      </c>
      <c r="AA301" s="30">
        <v>0</v>
      </c>
      <c r="AB301" s="30">
        <v>0</v>
      </c>
      <c r="AC301" s="30">
        <v>0</v>
      </c>
      <c r="AD301" s="30">
        <v>0</v>
      </c>
      <c r="AE301" s="30">
        <v>0</v>
      </c>
      <c r="AF301" s="30">
        <v>0</v>
      </c>
      <c r="AG301" s="30">
        <v>0</v>
      </c>
      <c r="AH301" s="30">
        <v>0</v>
      </c>
      <c r="AI301" s="30">
        <v>0</v>
      </c>
      <c r="AJ301" s="30">
        <v>0</v>
      </c>
      <c r="AK301" s="30">
        <v>0</v>
      </c>
      <c r="AL301" s="30">
        <v>0</v>
      </c>
      <c r="AM301" s="55">
        <f t="shared" si="41"/>
        <v>0</v>
      </c>
      <c r="AN301" s="55">
        <f t="shared" si="42"/>
        <v>0</v>
      </c>
      <c r="AO301" s="72"/>
      <c r="AP301" s="74" t="str">
        <f t="shared" si="43"/>
        <v/>
      </c>
      <c r="AQ301" s="74" t="str">
        <f t="shared" si="44"/>
        <v/>
      </c>
    </row>
    <row r="302" spans="1:43" ht="13.8" thickBot="1" x14ac:dyDescent="0.3">
      <c r="A302" s="68">
        <v>21</v>
      </c>
      <c r="B302" s="67" t="s">
        <v>209</v>
      </c>
      <c r="C302" s="69" t="s">
        <v>979</v>
      </c>
      <c r="D302" s="66" t="s">
        <v>210</v>
      </c>
      <c r="E302" s="70" t="s">
        <v>13</v>
      </c>
      <c r="F302" s="54"/>
      <c r="G302" s="54"/>
      <c r="H302" s="30">
        <v>0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  <c r="R302" s="30">
        <v>0</v>
      </c>
      <c r="S302" s="30">
        <v>0</v>
      </c>
      <c r="T302" s="30">
        <v>0</v>
      </c>
      <c r="U302" s="30">
        <v>0</v>
      </c>
      <c r="V302" s="30">
        <v>0</v>
      </c>
      <c r="W302" s="30">
        <v>0</v>
      </c>
      <c r="X302" s="30">
        <v>0</v>
      </c>
      <c r="Y302" s="30">
        <v>0</v>
      </c>
      <c r="Z302" s="30">
        <v>0</v>
      </c>
      <c r="AA302" s="30">
        <v>0</v>
      </c>
      <c r="AB302" s="30">
        <v>0</v>
      </c>
      <c r="AC302" s="30">
        <v>0</v>
      </c>
      <c r="AD302" s="30">
        <v>0</v>
      </c>
      <c r="AE302" s="30">
        <v>0</v>
      </c>
      <c r="AF302" s="30">
        <v>0</v>
      </c>
      <c r="AG302" s="30">
        <v>0</v>
      </c>
      <c r="AH302" s="30">
        <v>0</v>
      </c>
      <c r="AI302" s="30">
        <v>0</v>
      </c>
      <c r="AJ302" s="30">
        <v>0</v>
      </c>
      <c r="AK302" s="30">
        <v>0</v>
      </c>
      <c r="AL302" s="30">
        <v>0</v>
      </c>
      <c r="AM302" s="55">
        <f t="shared" si="41"/>
        <v>0</v>
      </c>
      <c r="AN302" s="55">
        <f t="shared" si="42"/>
        <v>0</v>
      </c>
      <c r="AO302" s="72"/>
      <c r="AP302" s="74" t="str">
        <f t="shared" si="43"/>
        <v/>
      </c>
      <c r="AQ302" s="74" t="str">
        <f t="shared" si="44"/>
        <v/>
      </c>
    </row>
    <row r="303" spans="1:43" ht="13.8" thickBot="1" x14ac:dyDescent="0.3">
      <c r="A303" s="68">
        <v>22</v>
      </c>
      <c r="B303" s="67" t="s">
        <v>207</v>
      </c>
      <c r="C303" s="69" t="s">
        <v>980</v>
      </c>
      <c r="D303" s="66" t="s">
        <v>201</v>
      </c>
      <c r="E303" s="69" t="s">
        <v>208</v>
      </c>
      <c r="F303" s="54"/>
      <c r="G303" s="54"/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  <c r="V303" s="30">
        <v>0</v>
      </c>
      <c r="W303" s="30">
        <v>0</v>
      </c>
      <c r="X303" s="30">
        <v>0</v>
      </c>
      <c r="Y303" s="30">
        <v>0</v>
      </c>
      <c r="Z303" s="30">
        <v>0</v>
      </c>
      <c r="AA303" s="30">
        <v>0</v>
      </c>
      <c r="AB303" s="30">
        <v>0</v>
      </c>
      <c r="AC303" s="30">
        <v>0</v>
      </c>
      <c r="AD303" s="30">
        <v>0</v>
      </c>
      <c r="AE303" s="30">
        <v>0</v>
      </c>
      <c r="AF303" s="30">
        <v>0</v>
      </c>
      <c r="AG303" s="30">
        <v>0</v>
      </c>
      <c r="AH303" s="30">
        <v>0</v>
      </c>
      <c r="AI303" s="30">
        <v>0</v>
      </c>
      <c r="AJ303" s="30">
        <v>0</v>
      </c>
      <c r="AK303" s="30">
        <v>0</v>
      </c>
      <c r="AL303" s="30">
        <v>0</v>
      </c>
      <c r="AM303" s="55">
        <f t="shared" si="41"/>
        <v>0</v>
      </c>
      <c r="AN303" s="55">
        <f t="shared" si="42"/>
        <v>0</v>
      </c>
      <c r="AO303" s="72"/>
      <c r="AP303" s="74" t="str">
        <f t="shared" si="43"/>
        <v/>
      </c>
      <c r="AQ303" s="74" t="str">
        <f t="shared" si="44"/>
        <v/>
      </c>
    </row>
    <row r="304" spans="1:43" ht="13.8" thickBot="1" x14ac:dyDescent="0.3">
      <c r="A304" s="68">
        <v>23</v>
      </c>
      <c r="B304" s="67" t="s">
        <v>982</v>
      </c>
      <c r="C304" s="69" t="s">
        <v>981</v>
      </c>
      <c r="D304" s="66" t="s">
        <v>201</v>
      </c>
      <c r="E304" s="71">
        <v>0.02</v>
      </c>
      <c r="F304" s="54"/>
      <c r="G304" s="54"/>
      <c r="H304" s="30">
        <v>0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0</v>
      </c>
      <c r="P304" s="30">
        <v>0</v>
      </c>
      <c r="Q304" s="30">
        <v>0</v>
      </c>
      <c r="R304" s="30">
        <v>0</v>
      </c>
      <c r="S304" s="30">
        <v>0</v>
      </c>
      <c r="T304" s="30">
        <v>0</v>
      </c>
      <c r="U304" s="30">
        <v>0</v>
      </c>
      <c r="V304" s="30">
        <v>0</v>
      </c>
      <c r="W304" s="30">
        <v>0</v>
      </c>
      <c r="X304" s="30">
        <v>0</v>
      </c>
      <c r="Y304" s="30">
        <v>0</v>
      </c>
      <c r="Z304" s="30">
        <v>0</v>
      </c>
      <c r="AA304" s="30">
        <v>0</v>
      </c>
      <c r="AB304" s="30">
        <v>0</v>
      </c>
      <c r="AC304" s="30">
        <v>0</v>
      </c>
      <c r="AD304" s="30">
        <v>0</v>
      </c>
      <c r="AE304" s="30">
        <v>0</v>
      </c>
      <c r="AF304" s="30">
        <v>0</v>
      </c>
      <c r="AG304" s="30">
        <v>0</v>
      </c>
      <c r="AH304" s="30">
        <v>0</v>
      </c>
      <c r="AI304" s="30">
        <v>0</v>
      </c>
      <c r="AJ304" s="30">
        <v>0</v>
      </c>
      <c r="AK304" s="30">
        <v>0</v>
      </c>
      <c r="AL304" s="30">
        <v>0</v>
      </c>
      <c r="AM304" s="55">
        <f t="shared" si="41"/>
        <v>0</v>
      </c>
      <c r="AN304" s="55">
        <f t="shared" si="42"/>
        <v>0</v>
      </c>
      <c r="AO304" s="72"/>
      <c r="AP304" s="74" t="str">
        <f t="shared" si="43"/>
        <v/>
      </c>
      <c r="AQ304" s="74" t="str">
        <f t="shared" si="44"/>
        <v/>
      </c>
    </row>
    <row r="305" spans="1:43" ht="13.8" thickBot="1" x14ac:dyDescent="0.3">
      <c r="A305" s="68">
        <v>24</v>
      </c>
      <c r="B305" s="67" t="s">
        <v>216</v>
      </c>
      <c r="C305" s="69" t="s">
        <v>983</v>
      </c>
      <c r="D305" s="66" t="s">
        <v>213</v>
      </c>
      <c r="E305" s="70" t="s">
        <v>13</v>
      </c>
      <c r="F305" s="54"/>
      <c r="G305" s="54"/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0</v>
      </c>
      <c r="P305" s="30">
        <v>0</v>
      </c>
      <c r="Q305" s="30">
        <v>0</v>
      </c>
      <c r="R305" s="30">
        <v>0</v>
      </c>
      <c r="S305" s="30">
        <v>0</v>
      </c>
      <c r="T305" s="30">
        <v>0</v>
      </c>
      <c r="U305" s="30">
        <v>0</v>
      </c>
      <c r="V305" s="30">
        <v>0</v>
      </c>
      <c r="W305" s="30">
        <v>0</v>
      </c>
      <c r="X305" s="30">
        <v>0</v>
      </c>
      <c r="Y305" s="30">
        <v>0</v>
      </c>
      <c r="Z305" s="30">
        <v>0</v>
      </c>
      <c r="AA305" s="30">
        <v>0</v>
      </c>
      <c r="AB305" s="30">
        <v>0</v>
      </c>
      <c r="AC305" s="30">
        <v>0</v>
      </c>
      <c r="AD305" s="30">
        <v>0</v>
      </c>
      <c r="AE305" s="30">
        <v>0</v>
      </c>
      <c r="AF305" s="30">
        <v>0</v>
      </c>
      <c r="AG305" s="30">
        <v>0</v>
      </c>
      <c r="AH305" s="30">
        <v>0</v>
      </c>
      <c r="AI305" s="30">
        <v>0</v>
      </c>
      <c r="AJ305" s="30">
        <v>0</v>
      </c>
      <c r="AK305" s="30">
        <v>0</v>
      </c>
      <c r="AL305" s="30">
        <v>0</v>
      </c>
      <c r="AM305" s="55">
        <f t="shared" si="41"/>
        <v>0</v>
      </c>
      <c r="AN305" s="55">
        <f t="shared" si="42"/>
        <v>0</v>
      </c>
      <c r="AO305" s="72"/>
      <c r="AP305" s="74" t="str">
        <f t="shared" si="43"/>
        <v/>
      </c>
      <c r="AQ305" s="74" t="str">
        <f t="shared" si="44"/>
        <v/>
      </c>
    </row>
    <row r="306" spans="1:43" ht="13.8" thickBot="1" x14ac:dyDescent="0.3">
      <c r="A306" s="68">
        <v>25</v>
      </c>
      <c r="B306" s="67" t="s">
        <v>217</v>
      </c>
      <c r="C306" s="69" t="s">
        <v>983</v>
      </c>
      <c r="D306" s="66" t="s">
        <v>198</v>
      </c>
      <c r="E306" s="70" t="s">
        <v>13</v>
      </c>
      <c r="F306" s="54"/>
      <c r="G306" s="54"/>
      <c r="H306" s="30">
        <v>0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0">
        <v>0</v>
      </c>
      <c r="Q306" s="30">
        <v>0</v>
      </c>
      <c r="R306" s="30">
        <v>0</v>
      </c>
      <c r="S306" s="30">
        <v>0</v>
      </c>
      <c r="T306" s="30">
        <v>0</v>
      </c>
      <c r="U306" s="30">
        <v>0</v>
      </c>
      <c r="V306" s="30">
        <v>0</v>
      </c>
      <c r="W306" s="30">
        <v>0</v>
      </c>
      <c r="X306" s="30">
        <v>0</v>
      </c>
      <c r="Y306" s="30">
        <v>0</v>
      </c>
      <c r="Z306" s="30">
        <v>0</v>
      </c>
      <c r="AA306" s="30">
        <v>0</v>
      </c>
      <c r="AB306" s="30">
        <v>0</v>
      </c>
      <c r="AC306" s="30">
        <v>0</v>
      </c>
      <c r="AD306" s="30">
        <v>0</v>
      </c>
      <c r="AE306" s="30">
        <v>0</v>
      </c>
      <c r="AF306" s="30">
        <v>0</v>
      </c>
      <c r="AG306" s="30">
        <v>0</v>
      </c>
      <c r="AH306" s="30">
        <v>0</v>
      </c>
      <c r="AI306" s="30">
        <v>0</v>
      </c>
      <c r="AJ306" s="30">
        <v>0</v>
      </c>
      <c r="AK306" s="30">
        <v>0</v>
      </c>
      <c r="AL306" s="30">
        <v>0</v>
      </c>
      <c r="AM306" s="55">
        <f t="shared" si="41"/>
        <v>0</v>
      </c>
      <c r="AN306" s="55">
        <f t="shared" si="42"/>
        <v>0</v>
      </c>
      <c r="AO306" s="72"/>
      <c r="AP306" s="74" t="str">
        <f t="shared" si="43"/>
        <v/>
      </c>
      <c r="AQ306" s="74" t="str">
        <f t="shared" si="44"/>
        <v/>
      </c>
    </row>
    <row r="307" spans="1:43" ht="13.8" thickBot="1" x14ac:dyDescent="0.3">
      <c r="A307" s="68">
        <v>26</v>
      </c>
      <c r="B307" s="67" t="s">
        <v>225</v>
      </c>
      <c r="C307" s="69" t="s">
        <v>983</v>
      </c>
      <c r="D307" s="66" t="s">
        <v>198</v>
      </c>
      <c r="E307" s="70" t="s">
        <v>13</v>
      </c>
      <c r="F307" s="54"/>
      <c r="G307" s="54"/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0</v>
      </c>
      <c r="P307" s="30">
        <v>0</v>
      </c>
      <c r="Q307" s="30">
        <v>0</v>
      </c>
      <c r="R307" s="30">
        <v>0</v>
      </c>
      <c r="S307" s="30">
        <v>0</v>
      </c>
      <c r="T307" s="30">
        <v>0</v>
      </c>
      <c r="U307" s="30">
        <v>0</v>
      </c>
      <c r="V307" s="30">
        <v>0</v>
      </c>
      <c r="W307" s="30">
        <v>0</v>
      </c>
      <c r="X307" s="30">
        <v>0</v>
      </c>
      <c r="Y307" s="30">
        <v>0</v>
      </c>
      <c r="Z307" s="30">
        <v>0</v>
      </c>
      <c r="AA307" s="30">
        <v>0</v>
      </c>
      <c r="AB307" s="30">
        <v>0</v>
      </c>
      <c r="AC307" s="30">
        <v>0</v>
      </c>
      <c r="AD307" s="30">
        <v>0</v>
      </c>
      <c r="AE307" s="30">
        <v>0</v>
      </c>
      <c r="AF307" s="30">
        <v>0</v>
      </c>
      <c r="AG307" s="30">
        <v>0</v>
      </c>
      <c r="AH307" s="30">
        <v>0</v>
      </c>
      <c r="AI307" s="30">
        <v>0</v>
      </c>
      <c r="AJ307" s="30">
        <v>0</v>
      </c>
      <c r="AK307" s="30">
        <v>0</v>
      </c>
      <c r="AL307" s="30">
        <v>0</v>
      </c>
      <c r="AM307" s="55">
        <f t="shared" si="41"/>
        <v>0</v>
      </c>
      <c r="AN307" s="55">
        <f t="shared" si="42"/>
        <v>0</v>
      </c>
      <c r="AO307" s="72"/>
      <c r="AP307" s="74" t="str">
        <f t="shared" si="43"/>
        <v/>
      </c>
      <c r="AQ307" s="74" t="str">
        <f t="shared" si="44"/>
        <v/>
      </c>
    </row>
    <row r="308" spans="1:43" ht="13.8" thickBot="1" x14ac:dyDescent="0.3">
      <c r="A308" s="68">
        <v>27</v>
      </c>
      <c r="B308" s="67" t="s">
        <v>222</v>
      </c>
      <c r="C308" s="69" t="s">
        <v>984</v>
      </c>
      <c r="D308" s="66" t="s">
        <v>976</v>
      </c>
      <c r="E308" s="70" t="s">
        <v>13</v>
      </c>
      <c r="F308" s="54"/>
      <c r="G308" s="54"/>
      <c r="H308" s="30">
        <v>0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0">
        <v>0</v>
      </c>
      <c r="Q308" s="30">
        <v>0</v>
      </c>
      <c r="R308" s="30">
        <v>0</v>
      </c>
      <c r="S308" s="30">
        <v>0</v>
      </c>
      <c r="T308" s="30">
        <v>0</v>
      </c>
      <c r="U308" s="30">
        <v>0</v>
      </c>
      <c r="V308" s="30">
        <v>0</v>
      </c>
      <c r="W308" s="30">
        <v>0</v>
      </c>
      <c r="X308" s="30">
        <v>0</v>
      </c>
      <c r="Y308" s="30">
        <v>0</v>
      </c>
      <c r="Z308" s="30">
        <v>0</v>
      </c>
      <c r="AA308" s="30">
        <v>0</v>
      </c>
      <c r="AB308" s="30">
        <v>0</v>
      </c>
      <c r="AC308" s="30">
        <v>0</v>
      </c>
      <c r="AD308" s="30">
        <v>0</v>
      </c>
      <c r="AE308" s="30">
        <v>0</v>
      </c>
      <c r="AF308" s="30">
        <v>0</v>
      </c>
      <c r="AG308" s="30">
        <v>0</v>
      </c>
      <c r="AH308" s="30">
        <v>0</v>
      </c>
      <c r="AI308" s="30">
        <v>0</v>
      </c>
      <c r="AJ308" s="30">
        <v>0</v>
      </c>
      <c r="AK308" s="30">
        <v>0</v>
      </c>
      <c r="AL308" s="30">
        <v>0</v>
      </c>
      <c r="AM308" s="55">
        <f t="shared" si="41"/>
        <v>0</v>
      </c>
      <c r="AN308" s="55">
        <f t="shared" si="42"/>
        <v>0</v>
      </c>
      <c r="AO308" s="72"/>
      <c r="AP308" s="74" t="str">
        <f t="shared" si="43"/>
        <v/>
      </c>
      <c r="AQ308" s="74" t="str">
        <f t="shared" si="44"/>
        <v/>
      </c>
    </row>
    <row r="309" spans="1:43" ht="13.8" thickBot="1" x14ac:dyDescent="0.3">
      <c r="A309" s="68">
        <v>28</v>
      </c>
      <c r="B309" s="67" t="s">
        <v>202</v>
      </c>
      <c r="C309" s="69" t="s">
        <v>987</v>
      </c>
      <c r="D309" s="66" t="s">
        <v>976</v>
      </c>
      <c r="E309" s="70" t="s">
        <v>13</v>
      </c>
      <c r="F309" s="54"/>
      <c r="G309" s="54"/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0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  <c r="W309" s="30">
        <v>0</v>
      </c>
      <c r="X309" s="30">
        <v>0</v>
      </c>
      <c r="Y309" s="30">
        <v>0</v>
      </c>
      <c r="Z309" s="30">
        <v>0</v>
      </c>
      <c r="AA309" s="30">
        <v>0</v>
      </c>
      <c r="AB309" s="30">
        <v>0</v>
      </c>
      <c r="AC309" s="30">
        <v>0</v>
      </c>
      <c r="AD309" s="30">
        <v>0</v>
      </c>
      <c r="AE309" s="30">
        <v>0</v>
      </c>
      <c r="AF309" s="30">
        <v>0</v>
      </c>
      <c r="AG309" s="30">
        <v>0</v>
      </c>
      <c r="AH309" s="30">
        <v>0</v>
      </c>
      <c r="AI309" s="30">
        <v>0</v>
      </c>
      <c r="AJ309" s="30">
        <v>0</v>
      </c>
      <c r="AK309" s="30">
        <v>0</v>
      </c>
      <c r="AL309" s="30">
        <v>0</v>
      </c>
      <c r="AM309" s="55">
        <f t="shared" si="41"/>
        <v>0</v>
      </c>
      <c r="AN309" s="55">
        <f t="shared" si="42"/>
        <v>0</v>
      </c>
      <c r="AO309" s="72"/>
      <c r="AP309" s="74" t="str">
        <f t="shared" si="43"/>
        <v/>
      </c>
      <c r="AQ309" s="74" t="str">
        <f t="shared" si="44"/>
        <v/>
      </c>
    </row>
    <row r="310" spans="1:43" ht="13.8" thickBot="1" x14ac:dyDescent="0.3">
      <c r="A310" s="68">
        <v>29</v>
      </c>
      <c r="B310" s="67" t="s">
        <v>214</v>
      </c>
      <c r="C310" s="69" t="s">
        <v>987</v>
      </c>
      <c r="D310" s="66" t="s">
        <v>976</v>
      </c>
      <c r="E310" s="70" t="s">
        <v>13</v>
      </c>
      <c r="F310" s="54"/>
      <c r="G310" s="54"/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0</v>
      </c>
      <c r="P310" s="30">
        <v>0</v>
      </c>
      <c r="Q310" s="30">
        <v>0</v>
      </c>
      <c r="R310" s="30">
        <v>0</v>
      </c>
      <c r="S310" s="30">
        <v>0</v>
      </c>
      <c r="T310" s="30">
        <v>0</v>
      </c>
      <c r="U310" s="30">
        <v>0</v>
      </c>
      <c r="V310" s="30">
        <v>0</v>
      </c>
      <c r="W310" s="30">
        <v>0</v>
      </c>
      <c r="X310" s="30">
        <v>0</v>
      </c>
      <c r="Y310" s="30">
        <v>0</v>
      </c>
      <c r="Z310" s="30">
        <v>0</v>
      </c>
      <c r="AA310" s="30">
        <v>0</v>
      </c>
      <c r="AB310" s="30">
        <v>0</v>
      </c>
      <c r="AC310" s="30">
        <v>0</v>
      </c>
      <c r="AD310" s="30">
        <v>0</v>
      </c>
      <c r="AE310" s="30">
        <v>0</v>
      </c>
      <c r="AF310" s="30">
        <v>0</v>
      </c>
      <c r="AG310" s="30">
        <v>0</v>
      </c>
      <c r="AH310" s="30">
        <v>0</v>
      </c>
      <c r="AI310" s="30">
        <v>0</v>
      </c>
      <c r="AJ310" s="30">
        <v>0</v>
      </c>
      <c r="AK310" s="30">
        <v>0</v>
      </c>
      <c r="AL310" s="30">
        <v>0</v>
      </c>
      <c r="AM310" s="55">
        <f t="shared" si="41"/>
        <v>0</v>
      </c>
      <c r="AN310" s="55">
        <f t="shared" si="42"/>
        <v>0</v>
      </c>
      <c r="AO310" s="72"/>
      <c r="AP310" s="74" t="str">
        <f t="shared" si="43"/>
        <v/>
      </c>
      <c r="AQ310" s="74" t="str">
        <f t="shared" si="44"/>
        <v/>
      </c>
    </row>
    <row r="311" spans="1:43" ht="13.8" thickBot="1" x14ac:dyDescent="0.3">
      <c r="A311" s="68">
        <v>30</v>
      </c>
      <c r="B311" s="67" t="s">
        <v>993</v>
      </c>
      <c r="C311" s="69" t="s">
        <v>988</v>
      </c>
      <c r="D311" s="66" t="s">
        <v>219</v>
      </c>
      <c r="E311" s="66" t="s">
        <v>994</v>
      </c>
      <c r="F311" s="54"/>
      <c r="G311" s="54"/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0">
        <v>0</v>
      </c>
      <c r="Q311" s="30">
        <v>0</v>
      </c>
      <c r="R311" s="30">
        <v>0</v>
      </c>
      <c r="S311" s="30">
        <v>0</v>
      </c>
      <c r="T311" s="30">
        <v>0</v>
      </c>
      <c r="U311" s="30">
        <v>0</v>
      </c>
      <c r="V311" s="30">
        <v>0</v>
      </c>
      <c r="W311" s="30">
        <v>0</v>
      </c>
      <c r="X311" s="30">
        <v>0</v>
      </c>
      <c r="Y311" s="30">
        <v>0</v>
      </c>
      <c r="Z311" s="30">
        <v>0</v>
      </c>
      <c r="AA311" s="30">
        <v>0</v>
      </c>
      <c r="AB311" s="30">
        <v>0</v>
      </c>
      <c r="AC311" s="30">
        <v>0</v>
      </c>
      <c r="AD311" s="30">
        <v>0</v>
      </c>
      <c r="AE311" s="30">
        <v>0</v>
      </c>
      <c r="AF311" s="30">
        <v>0</v>
      </c>
      <c r="AG311" s="30">
        <v>0</v>
      </c>
      <c r="AH311" s="30">
        <v>0</v>
      </c>
      <c r="AI311" s="30">
        <v>0</v>
      </c>
      <c r="AJ311" s="30">
        <v>0</v>
      </c>
      <c r="AK311" s="30">
        <v>0</v>
      </c>
      <c r="AL311" s="30">
        <v>0</v>
      </c>
      <c r="AM311" s="55">
        <f t="shared" si="41"/>
        <v>0</v>
      </c>
      <c r="AN311" s="55">
        <f t="shared" si="42"/>
        <v>0</v>
      </c>
      <c r="AO311" s="72"/>
      <c r="AP311" s="74" t="str">
        <f t="shared" si="43"/>
        <v/>
      </c>
      <c r="AQ311" s="74" t="str">
        <f t="shared" si="44"/>
        <v/>
      </c>
    </row>
    <row r="312" spans="1:43" ht="13.8" thickBot="1" x14ac:dyDescent="0.3">
      <c r="A312" s="68">
        <v>31</v>
      </c>
      <c r="B312" s="67" t="s">
        <v>990</v>
      </c>
      <c r="C312" s="69" t="s">
        <v>989</v>
      </c>
      <c r="D312" s="66" t="s">
        <v>219</v>
      </c>
      <c r="E312" s="70" t="s">
        <v>13</v>
      </c>
      <c r="F312" s="54"/>
      <c r="G312" s="54"/>
      <c r="H312" s="30">
        <v>0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0">
        <v>0</v>
      </c>
      <c r="Q312" s="30">
        <v>0</v>
      </c>
      <c r="R312" s="30">
        <v>0</v>
      </c>
      <c r="S312" s="30">
        <v>0</v>
      </c>
      <c r="T312" s="30">
        <v>0</v>
      </c>
      <c r="U312" s="30">
        <v>0</v>
      </c>
      <c r="V312" s="30">
        <v>0</v>
      </c>
      <c r="W312" s="30">
        <v>0</v>
      </c>
      <c r="X312" s="30">
        <v>0</v>
      </c>
      <c r="Y312" s="30">
        <v>0</v>
      </c>
      <c r="Z312" s="30">
        <v>0</v>
      </c>
      <c r="AA312" s="30">
        <v>0</v>
      </c>
      <c r="AB312" s="30">
        <v>0</v>
      </c>
      <c r="AC312" s="30">
        <v>0</v>
      </c>
      <c r="AD312" s="30">
        <v>0</v>
      </c>
      <c r="AE312" s="30">
        <v>0</v>
      </c>
      <c r="AF312" s="30">
        <v>0</v>
      </c>
      <c r="AG312" s="30">
        <v>0</v>
      </c>
      <c r="AH312" s="30">
        <v>0</v>
      </c>
      <c r="AI312" s="30">
        <v>0</v>
      </c>
      <c r="AJ312" s="30">
        <v>0</v>
      </c>
      <c r="AK312" s="30">
        <v>0</v>
      </c>
      <c r="AL312" s="30">
        <v>0</v>
      </c>
      <c r="AM312" s="55">
        <f t="shared" si="41"/>
        <v>0</v>
      </c>
      <c r="AN312" s="55">
        <f t="shared" si="42"/>
        <v>0</v>
      </c>
      <c r="AO312" s="72"/>
      <c r="AP312" s="74" t="str">
        <f t="shared" si="43"/>
        <v/>
      </c>
      <c r="AQ312" s="74" t="str">
        <f t="shared" si="44"/>
        <v/>
      </c>
    </row>
    <row r="313" spans="1:43" ht="13.8" thickBot="1" x14ac:dyDescent="0.3">
      <c r="A313" s="68">
        <v>32</v>
      </c>
      <c r="B313" s="67" t="s">
        <v>196</v>
      </c>
      <c r="C313" s="69" t="s">
        <v>991</v>
      </c>
      <c r="D313" s="66" t="s">
        <v>213</v>
      </c>
      <c r="E313" s="66" t="s">
        <v>197</v>
      </c>
      <c r="F313" s="54"/>
      <c r="G313" s="54"/>
      <c r="H313" s="30">
        <v>0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0">
        <v>0</v>
      </c>
      <c r="T313" s="30">
        <v>0</v>
      </c>
      <c r="U313" s="30">
        <v>0</v>
      </c>
      <c r="V313" s="30">
        <v>0</v>
      </c>
      <c r="W313" s="30">
        <v>0</v>
      </c>
      <c r="X313" s="30">
        <v>0</v>
      </c>
      <c r="Y313" s="30">
        <v>0</v>
      </c>
      <c r="Z313" s="30">
        <v>0</v>
      </c>
      <c r="AA313" s="30">
        <v>0</v>
      </c>
      <c r="AB313" s="30">
        <v>0</v>
      </c>
      <c r="AC313" s="30">
        <v>0</v>
      </c>
      <c r="AD313" s="30">
        <v>0</v>
      </c>
      <c r="AE313" s="30">
        <v>0</v>
      </c>
      <c r="AF313" s="30">
        <v>0</v>
      </c>
      <c r="AG313" s="30">
        <v>0</v>
      </c>
      <c r="AH313" s="30">
        <v>0</v>
      </c>
      <c r="AI313" s="30">
        <v>0</v>
      </c>
      <c r="AJ313" s="30">
        <v>0</v>
      </c>
      <c r="AK313" s="30">
        <v>0</v>
      </c>
      <c r="AL313" s="30">
        <v>0</v>
      </c>
      <c r="AM313" s="55">
        <f t="shared" si="41"/>
        <v>0</v>
      </c>
      <c r="AN313" s="55">
        <f t="shared" si="42"/>
        <v>0</v>
      </c>
      <c r="AO313" s="72"/>
      <c r="AP313" s="74" t="str">
        <f t="shared" si="43"/>
        <v/>
      </c>
      <c r="AQ313" s="74" t="str">
        <f t="shared" si="44"/>
        <v/>
      </c>
    </row>
    <row r="314" spans="1:43" ht="13.8" thickBot="1" x14ac:dyDescent="0.3">
      <c r="A314" s="68">
        <v>33</v>
      </c>
      <c r="B314" s="67" t="s">
        <v>215</v>
      </c>
      <c r="C314" s="69" t="s">
        <v>992</v>
      </c>
      <c r="D314" s="66" t="s">
        <v>198</v>
      </c>
      <c r="E314" s="66" t="s">
        <v>206</v>
      </c>
      <c r="F314" s="54"/>
      <c r="G314" s="54"/>
      <c r="H314" s="30">
        <v>0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0">
        <v>0</v>
      </c>
      <c r="Q314" s="30">
        <v>0</v>
      </c>
      <c r="R314" s="30">
        <v>0</v>
      </c>
      <c r="S314" s="30">
        <v>0</v>
      </c>
      <c r="T314" s="30">
        <v>0</v>
      </c>
      <c r="U314" s="30">
        <v>0</v>
      </c>
      <c r="V314" s="30">
        <v>0</v>
      </c>
      <c r="W314" s="30">
        <v>0</v>
      </c>
      <c r="X314" s="30">
        <v>0</v>
      </c>
      <c r="Y314" s="30">
        <v>0</v>
      </c>
      <c r="Z314" s="30">
        <v>0</v>
      </c>
      <c r="AA314" s="30">
        <v>0</v>
      </c>
      <c r="AB314" s="30">
        <v>0</v>
      </c>
      <c r="AC314" s="30">
        <v>0</v>
      </c>
      <c r="AD314" s="30">
        <v>0</v>
      </c>
      <c r="AE314" s="30">
        <v>0</v>
      </c>
      <c r="AF314" s="30">
        <v>0</v>
      </c>
      <c r="AG314" s="30">
        <v>0</v>
      </c>
      <c r="AH314" s="30">
        <v>0</v>
      </c>
      <c r="AI314" s="30">
        <v>0</v>
      </c>
      <c r="AJ314" s="30">
        <v>0</v>
      </c>
      <c r="AK314" s="30">
        <v>0</v>
      </c>
      <c r="AL314" s="30">
        <v>0</v>
      </c>
      <c r="AM314" s="55">
        <f t="shared" si="41"/>
        <v>0</v>
      </c>
      <c r="AN314" s="55">
        <f t="shared" si="42"/>
        <v>0</v>
      </c>
      <c r="AO314" s="72"/>
      <c r="AP314" s="74" t="str">
        <f t="shared" si="43"/>
        <v/>
      </c>
      <c r="AQ314" s="74" t="str">
        <f t="shared" si="44"/>
        <v/>
      </c>
    </row>
    <row r="315" spans="1:43" ht="13.8" thickBot="1" x14ac:dyDescent="0.3">
      <c r="A315" s="68">
        <v>34</v>
      </c>
      <c r="B315" s="67" t="s">
        <v>226</v>
      </c>
      <c r="C315" s="69" t="s">
        <v>992</v>
      </c>
      <c r="D315" s="66" t="s">
        <v>230</v>
      </c>
      <c r="E315" s="66" t="s">
        <v>227</v>
      </c>
      <c r="F315" s="54"/>
      <c r="G315" s="54"/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  <c r="W315" s="30">
        <v>0</v>
      </c>
      <c r="X315" s="30">
        <v>0</v>
      </c>
      <c r="Y315" s="30">
        <v>0</v>
      </c>
      <c r="Z315" s="30">
        <v>0</v>
      </c>
      <c r="AA315" s="30">
        <v>0</v>
      </c>
      <c r="AB315" s="30">
        <v>0</v>
      </c>
      <c r="AC315" s="30">
        <v>0</v>
      </c>
      <c r="AD315" s="30">
        <v>0</v>
      </c>
      <c r="AE315" s="30">
        <v>0</v>
      </c>
      <c r="AF315" s="30">
        <v>0</v>
      </c>
      <c r="AG315" s="30">
        <v>0</v>
      </c>
      <c r="AH315" s="30">
        <v>0</v>
      </c>
      <c r="AI315" s="30">
        <v>0</v>
      </c>
      <c r="AJ315" s="30">
        <v>0</v>
      </c>
      <c r="AK315" s="30">
        <v>0</v>
      </c>
      <c r="AL315" s="30">
        <v>0</v>
      </c>
      <c r="AM315" s="55">
        <f t="shared" si="41"/>
        <v>0</v>
      </c>
      <c r="AN315" s="55">
        <f t="shared" si="42"/>
        <v>0</v>
      </c>
      <c r="AO315" s="72"/>
      <c r="AP315" s="74" t="str">
        <f t="shared" si="43"/>
        <v/>
      </c>
      <c r="AQ315" s="74" t="str">
        <f t="shared" si="44"/>
        <v/>
      </c>
    </row>
    <row r="316" spans="1:43" ht="13.8" thickBot="1" x14ac:dyDescent="0.3">
      <c r="A316" s="68">
        <v>35</v>
      </c>
      <c r="B316" s="67"/>
      <c r="C316" s="69"/>
      <c r="D316" s="66"/>
      <c r="E316" s="66"/>
      <c r="F316" s="54"/>
      <c r="G316" s="54"/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0</v>
      </c>
      <c r="P316" s="30">
        <v>0</v>
      </c>
      <c r="Q316" s="30">
        <v>0</v>
      </c>
      <c r="R316" s="30">
        <v>0</v>
      </c>
      <c r="S316" s="30">
        <v>0</v>
      </c>
      <c r="T316" s="30">
        <v>0</v>
      </c>
      <c r="U316" s="30">
        <v>0</v>
      </c>
      <c r="V316" s="30">
        <v>0</v>
      </c>
      <c r="W316" s="30">
        <v>0</v>
      </c>
      <c r="X316" s="30">
        <v>0</v>
      </c>
      <c r="Y316" s="30">
        <v>0</v>
      </c>
      <c r="Z316" s="30">
        <v>0</v>
      </c>
      <c r="AA316" s="30">
        <v>0</v>
      </c>
      <c r="AB316" s="30">
        <v>0</v>
      </c>
      <c r="AC316" s="30">
        <v>0</v>
      </c>
      <c r="AD316" s="30">
        <v>0</v>
      </c>
      <c r="AE316" s="30">
        <v>0</v>
      </c>
      <c r="AF316" s="30">
        <v>0</v>
      </c>
      <c r="AG316" s="30">
        <v>0</v>
      </c>
      <c r="AH316" s="30">
        <v>0</v>
      </c>
      <c r="AI316" s="30">
        <v>0</v>
      </c>
      <c r="AJ316" s="30">
        <v>0</v>
      </c>
      <c r="AK316" s="30">
        <v>0</v>
      </c>
      <c r="AL316" s="30">
        <v>0</v>
      </c>
      <c r="AM316" s="55">
        <f t="shared" si="41"/>
        <v>0</v>
      </c>
      <c r="AN316" s="55">
        <f t="shared" si="42"/>
        <v>0</v>
      </c>
      <c r="AO316" s="72"/>
      <c r="AP316" s="74" t="str">
        <f t="shared" si="43"/>
        <v/>
      </c>
      <c r="AQ316" s="74" t="str">
        <f t="shared" si="44"/>
        <v/>
      </c>
    </row>
    <row r="317" spans="1:43" ht="13.8" thickBot="1" x14ac:dyDescent="0.3">
      <c r="A317" s="68">
        <v>36</v>
      </c>
      <c r="B317" s="67"/>
      <c r="C317" s="69"/>
      <c r="D317" s="66"/>
      <c r="E317" s="66"/>
      <c r="F317" s="54"/>
      <c r="G317" s="54"/>
      <c r="H317" s="30">
        <v>0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0</v>
      </c>
      <c r="P317" s="30">
        <v>0</v>
      </c>
      <c r="Q317" s="30">
        <v>0</v>
      </c>
      <c r="R317" s="30">
        <v>0</v>
      </c>
      <c r="S317" s="30">
        <v>0</v>
      </c>
      <c r="T317" s="30">
        <v>0</v>
      </c>
      <c r="U317" s="30">
        <v>0</v>
      </c>
      <c r="V317" s="30">
        <v>0</v>
      </c>
      <c r="W317" s="30">
        <v>0</v>
      </c>
      <c r="X317" s="30">
        <v>0</v>
      </c>
      <c r="Y317" s="30">
        <v>0</v>
      </c>
      <c r="Z317" s="30">
        <v>0</v>
      </c>
      <c r="AA317" s="30">
        <v>0</v>
      </c>
      <c r="AB317" s="30">
        <v>0</v>
      </c>
      <c r="AC317" s="30">
        <v>0</v>
      </c>
      <c r="AD317" s="30">
        <v>0</v>
      </c>
      <c r="AE317" s="30">
        <v>0</v>
      </c>
      <c r="AF317" s="30">
        <v>0</v>
      </c>
      <c r="AG317" s="30">
        <v>0</v>
      </c>
      <c r="AH317" s="30">
        <v>0</v>
      </c>
      <c r="AI317" s="30">
        <v>0</v>
      </c>
      <c r="AJ317" s="30">
        <v>0</v>
      </c>
      <c r="AK317" s="30">
        <v>0</v>
      </c>
      <c r="AL317" s="30">
        <v>0</v>
      </c>
      <c r="AM317" s="55">
        <f t="shared" si="41"/>
        <v>0</v>
      </c>
      <c r="AN317" s="55">
        <f t="shared" si="42"/>
        <v>0</v>
      </c>
      <c r="AO317" s="72"/>
      <c r="AP317" s="74" t="str">
        <f t="shared" si="43"/>
        <v/>
      </c>
      <c r="AQ317" s="74" t="str">
        <f t="shared" si="44"/>
        <v/>
      </c>
    </row>
    <row r="318" spans="1:43" ht="13.8" thickBot="1" x14ac:dyDescent="0.3">
      <c r="A318" s="68">
        <v>37</v>
      </c>
      <c r="B318" s="67"/>
      <c r="C318" s="69"/>
      <c r="D318" s="66"/>
      <c r="E318" s="66"/>
      <c r="F318" s="54"/>
      <c r="G318" s="54"/>
      <c r="H318" s="30">
        <v>0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  <c r="P318" s="30">
        <v>0</v>
      </c>
      <c r="Q318" s="30">
        <v>0</v>
      </c>
      <c r="R318" s="30">
        <v>0</v>
      </c>
      <c r="S318" s="30">
        <v>0</v>
      </c>
      <c r="T318" s="30">
        <v>0</v>
      </c>
      <c r="U318" s="30">
        <v>0</v>
      </c>
      <c r="V318" s="30">
        <v>0</v>
      </c>
      <c r="W318" s="30">
        <v>0</v>
      </c>
      <c r="X318" s="30">
        <v>0</v>
      </c>
      <c r="Y318" s="30">
        <v>0</v>
      </c>
      <c r="Z318" s="30">
        <v>0</v>
      </c>
      <c r="AA318" s="30">
        <v>0</v>
      </c>
      <c r="AB318" s="30">
        <v>0</v>
      </c>
      <c r="AC318" s="30">
        <v>0</v>
      </c>
      <c r="AD318" s="30">
        <v>0</v>
      </c>
      <c r="AE318" s="30">
        <v>0</v>
      </c>
      <c r="AF318" s="30">
        <v>0</v>
      </c>
      <c r="AG318" s="30">
        <v>0</v>
      </c>
      <c r="AH318" s="30">
        <v>0</v>
      </c>
      <c r="AI318" s="30">
        <v>0</v>
      </c>
      <c r="AJ318" s="30">
        <v>0</v>
      </c>
      <c r="AK318" s="30">
        <v>0</v>
      </c>
      <c r="AL318" s="30">
        <v>0</v>
      </c>
      <c r="AM318" s="55">
        <f t="shared" si="41"/>
        <v>0</v>
      </c>
      <c r="AN318" s="55">
        <f t="shared" si="42"/>
        <v>0</v>
      </c>
      <c r="AO318" s="72"/>
      <c r="AP318" s="74" t="str">
        <f t="shared" si="43"/>
        <v/>
      </c>
      <c r="AQ318" s="74" t="str">
        <f t="shared" si="44"/>
        <v/>
      </c>
    </row>
    <row r="319" spans="1:43" ht="13.8" thickBot="1" x14ac:dyDescent="0.3">
      <c r="A319" s="68">
        <v>38</v>
      </c>
      <c r="B319" s="67"/>
      <c r="C319" s="69"/>
      <c r="D319" s="66"/>
      <c r="E319" s="66"/>
      <c r="F319" s="54"/>
      <c r="G319" s="54"/>
      <c r="H319" s="30">
        <v>0</v>
      </c>
      <c r="I319" s="30">
        <v>0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0">
        <v>0</v>
      </c>
      <c r="Q319" s="30">
        <v>0</v>
      </c>
      <c r="R319" s="30">
        <v>0</v>
      </c>
      <c r="S319" s="30">
        <v>0</v>
      </c>
      <c r="T319" s="30">
        <v>0</v>
      </c>
      <c r="U319" s="30">
        <v>0</v>
      </c>
      <c r="V319" s="30">
        <v>0</v>
      </c>
      <c r="W319" s="30">
        <v>0</v>
      </c>
      <c r="X319" s="30">
        <v>0</v>
      </c>
      <c r="Y319" s="30">
        <v>0</v>
      </c>
      <c r="Z319" s="30">
        <v>0</v>
      </c>
      <c r="AA319" s="30">
        <v>0</v>
      </c>
      <c r="AB319" s="30">
        <v>0</v>
      </c>
      <c r="AC319" s="30">
        <v>0</v>
      </c>
      <c r="AD319" s="30">
        <v>0</v>
      </c>
      <c r="AE319" s="30">
        <v>0</v>
      </c>
      <c r="AF319" s="30">
        <v>0</v>
      </c>
      <c r="AG319" s="30">
        <v>0</v>
      </c>
      <c r="AH319" s="30">
        <v>0</v>
      </c>
      <c r="AI319" s="30">
        <v>0</v>
      </c>
      <c r="AJ319" s="30">
        <v>0</v>
      </c>
      <c r="AK319" s="30">
        <v>0</v>
      </c>
      <c r="AL319" s="30">
        <v>0</v>
      </c>
      <c r="AM319" s="55">
        <f t="shared" si="41"/>
        <v>0</v>
      </c>
      <c r="AN319" s="55">
        <f t="shared" si="42"/>
        <v>0</v>
      </c>
      <c r="AO319" s="72"/>
      <c r="AP319" s="74" t="str">
        <f t="shared" si="43"/>
        <v/>
      </c>
      <c r="AQ319" s="74" t="str">
        <f t="shared" si="44"/>
        <v/>
      </c>
    </row>
    <row r="320" spans="1:43" ht="13.8" thickBot="1" x14ac:dyDescent="0.3">
      <c r="A320" s="68">
        <v>39</v>
      </c>
      <c r="B320" s="54"/>
      <c r="C320" s="54"/>
      <c r="D320" s="66"/>
      <c r="E320" s="66"/>
      <c r="F320" s="54"/>
      <c r="G320" s="54"/>
      <c r="H320" s="30">
        <v>0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0">
        <v>0</v>
      </c>
      <c r="R320" s="30">
        <v>0</v>
      </c>
      <c r="S320" s="30">
        <v>0</v>
      </c>
      <c r="T320" s="30">
        <v>0</v>
      </c>
      <c r="U320" s="30">
        <v>0</v>
      </c>
      <c r="V320" s="30">
        <v>0</v>
      </c>
      <c r="W320" s="30">
        <v>0</v>
      </c>
      <c r="X320" s="30">
        <v>0</v>
      </c>
      <c r="Y320" s="30">
        <v>0</v>
      </c>
      <c r="Z320" s="30">
        <v>0</v>
      </c>
      <c r="AA320" s="30">
        <v>0</v>
      </c>
      <c r="AB320" s="30">
        <v>0</v>
      </c>
      <c r="AC320" s="30">
        <v>0</v>
      </c>
      <c r="AD320" s="30">
        <v>0</v>
      </c>
      <c r="AE320" s="30">
        <v>0</v>
      </c>
      <c r="AF320" s="30">
        <v>0</v>
      </c>
      <c r="AG320" s="30">
        <v>0</v>
      </c>
      <c r="AH320" s="30">
        <v>0</v>
      </c>
      <c r="AI320" s="30">
        <v>0</v>
      </c>
      <c r="AJ320" s="30">
        <v>0</v>
      </c>
      <c r="AK320" s="30">
        <v>0</v>
      </c>
      <c r="AL320" s="30">
        <v>0</v>
      </c>
      <c r="AM320" s="55">
        <f t="shared" si="41"/>
        <v>0</v>
      </c>
      <c r="AN320" s="55">
        <f t="shared" si="42"/>
        <v>0</v>
      </c>
      <c r="AO320" s="72"/>
      <c r="AP320" s="74" t="str">
        <f t="shared" si="43"/>
        <v/>
      </c>
      <c r="AQ320" s="74" t="str">
        <f t="shared" si="44"/>
        <v/>
      </c>
    </row>
    <row r="321" spans="1:43" ht="18.600000000000001" customHeight="1" thickBot="1" x14ac:dyDescent="0.3">
      <c r="A321" s="92"/>
      <c r="B321" s="93"/>
      <c r="C321" s="42"/>
      <c r="D321" s="42"/>
      <c r="E321" s="42"/>
      <c r="F321" s="42"/>
      <c r="G321" s="42"/>
      <c r="H321" s="55">
        <f t="shared" ref="H321:AN321" si="45">SUM(H281:H320)</f>
        <v>0</v>
      </c>
      <c r="I321" s="55">
        <f t="shared" si="45"/>
        <v>0</v>
      </c>
      <c r="J321" s="55">
        <f t="shared" si="45"/>
        <v>0</v>
      </c>
      <c r="K321" s="55">
        <f t="shared" si="45"/>
        <v>0</v>
      </c>
      <c r="L321" s="55">
        <f t="shared" si="45"/>
        <v>0</v>
      </c>
      <c r="M321" s="55">
        <f t="shared" si="45"/>
        <v>0</v>
      </c>
      <c r="N321" s="55">
        <f t="shared" si="45"/>
        <v>0</v>
      </c>
      <c r="O321" s="55">
        <f t="shared" si="45"/>
        <v>0</v>
      </c>
      <c r="P321" s="55">
        <f t="shared" si="45"/>
        <v>0</v>
      </c>
      <c r="Q321" s="55">
        <f t="shared" si="45"/>
        <v>0</v>
      </c>
      <c r="R321" s="55">
        <f t="shared" si="45"/>
        <v>0</v>
      </c>
      <c r="S321" s="55">
        <f t="shared" si="45"/>
        <v>0</v>
      </c>
      <c r="T321" s="55">
        <f t="shared" si="45"/>
        <v>0</v>
      </c>
      <c r="U321" s="55">
        <f t="shared" si="45"/>
        <v>0</v>
      </c>
      <c r="V321" s="55">
        <f t="shared" si="45"/>
        <v>0</v>
      </c>
      <c r="W321" s="55">
        <f t="shared" si="45"/>
        <v>0</v>
      </c>
      <c r="X321" s="55">
        <f t="shared" si="45"/>
        <v>0</v>
      </c>
      <c r="Y321" s="55">
        <f t="shared" si="45"/>
        <v>0</v>
      </c>
      <c r="Z321" s="55">
        <f t="shared" si="45"/>
        <v>0</v>
      </c>
      <c r="AA321" s="55">
        <f t="shared" si="45"/>
        <v>0</v>
      </c>
      <c r="AB321" s="55">
        <f t="shared" si="45"/>
        <v>0</v>
      </c>
      <c r="AC321" s="55">
        <f t="shared" si="45"/>
        <v>0</v>
      </c>
      <c r="AD321" s="55">
        <f t="shared" si="45"/>
        <v>0</v>
      </c>
      <c r="AE321" s="55">
        <f t="shared" si="45"/>
        <v>0</v>
      </c>
      <c r="AF321" s="55">
        <f t="shared" si="45"/>
        <v>0</v>
      </c>
      <c r="AG321" s="55">
        <f t="shared" si="45"/>
        <v>0</v>
      </c>
      <c r="AH321" s="55">
        <f t="shared" si="45"/>
        <v>0</v>
      </c>
      <c r="AI321" s="55">
        <f t="shared" si="45"/>
        <v>0</v>
      </c>
      <c r="AJ321" s="55">
        <f t="shared" si="45"/>
        <v>0</v>
      </c>
      <c r="AK321" s="55">
        <f t="shared" si="45"/>
        <v>0</v>
      </c>
      <c r="AL321" s="55">
        <f t="shared" si="45"/>
        <v>0</v>
      </c>
      <c r="AM321" s="30">
        <f t="shared" si="45"/>
        <v>0</v>
      </c>
      <c r="AN321" s="30">
        <f t="shared" si="45"/>
        <v>0</v>
      </c>
    </row>
    <row r="323" spans="1:43" ht="17.399999999999999" customHeight="1" x14ac:dyDescent="0.25">
      <c r="A323" s="92" t="s">
        <v>174</v>
      </c>
      <c r="B323" s="93"/>
      <c r="C323" s="42"/>
      <c r="D323" s="42"/>
      <c r="E323" s="42"/>
      <c r="F323" s="42"/>
      <c r="G323" s="42"/>
      <c r="H323" s="111">
        <v>45870</v>
      </c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  <c r="AA323" s="112"/>
      <c r="AB323" s="112"/>
      <c r="AC323" s="112"/>
      <c r="AD323" s="112"/>
      <c r="AE323" s="112"/>
      <c r="AF323" s="112"/>
      <c r="AG323" s="112"/>
      <c r="AH323" s="112"/>
      <c r="AI323" s="112"/>
      <c r="AJ323" s="112"/>
      <c r="AK323" s="112"/>
      <c r="AL323" s="112"/>
      <c r="AM323" s="140" t="s">
        <v>954</v>
      </c>
      <c r="AN323" s="146" t="s">
        <v>953</v>
      </c>
      <c r="AO323" s="148" t="s">
        <v>955</v>
      </c>
      <c r="AP323" s="144" t="s">
        <v>958</v>
      </c>
      <c r="AQ323" s="144"/>
    </row>
    <row r="324" spans="1:43" ht="31.8" customHeight="1" thickBot="1" x14ac:dyDescent="0.3">
      <c r="A324" s="138" t="s">
        <v>948</v>
      </c>
      <c r="B324" s="138" t="s">
        <v>947</v>
      </c>
      <c r="C324" s="138" t="s">
        <v>959</v>
      </c>
      <c r="D324" s="138" t="s">
        <v>949</v>
      </c>
      <c r="E324" s="138"/>
      <c r="F324" s="154" t="s">
        <v>192</v>
      </c>
      <c r="G324" s="142" t="s">
        <v>193</v>
      </c>
      <c r="H324" s="45">
        <v>1</v>
      </c>
      <c r="I324" s="45">
        <v>2</v>
      </c>
      <c r="J324" s="45">
        <v>3</v>
      </c>
      <c r="K324" s="45">
        <v>4</v>
      </c>
      <c r="L324" s="45">
        <v>5</v>
      </c>
      <c r="M324" s="45">
        <v>6</v>
      </c>
      <c r="N324" s="45">
        <v>7</v>
      </c>
      <c r="O324" s="45">
        <v>8</v>
      </c>
      <c r="P324" s="45">
        <v>9</v>
      </c>
      <c r="Q324" s="45">
        <v>10</v>
      </c>
      <c r="R324" s="45">
        <v>11</v>
      </c>
      <c r="S324" s="45">
        <v>12</v>
      </c>
      <c r="T324" s="45">
        <v>13</v>
      </c>
      <c r="U324" s="45">
        <v>14</v>
      </c>
      <c r="V324" s="45">
        <v>15</v>
      </c>
      <c r="W324" s="45">
        <v>16</v>
      </c>
      <c r="X324" s="45">
        <v>17</v>
      </c>
      <c r="Y324" s="45">
        <v>18</v>
      </c>
      <c r="Z324" s="45">
        <v>19</v>
      </c>
      <c r="AA324" s="45">
        <v>20</v>
      </c>
      <c r="AB324" s="45">
        <v>21</v>
      </c>
      <c r="AC324" s="45">
        <v>22</v>
      </c>
      <c r="AD324" s="45">
        <v>23</v>
      </c>
      <c r="AE324" s="45">
        <v>24</v>
      </c>
      <c r="AF324" s="45">
        <v>25</v>
      </c>
      <c r="AG324" s="45">
        <v>26</v>
      </c>
      <c r="AH324" s="45">
        <v>27</v>
      </c>
      <c r="AI324" s="45">
        <v>28</v>
      </c>
      <c r="AJ324" s="45">
        <v>29</v>
      </c>
      <c r="AK324" s="45">
        <v>30</v>
      </c>
      <c r="AL324" s="45" t="s">
        <v>177</v>
      </c>
      <c r="AM324" s="140"/>
      <c r="AN324" s="146"/>
      <c r="AO324" s="148"/>
      <c r="AP324" s="150" t="s">
        <v>956</v>
      </c>
      <c r="AQ324" s="152" t="s">
        <v>957</v>
      </c>
    </row>
    <row r="325" spans="1:43" ht="13.8" thickBot="1" x14ac:dyDescent="0.3">
      <c r="A325" s="139"/>
      <c r="B325" s="139"/>
      <c r="C325" s="145"/>
      <c r="D325" s="64" t="s">
        <v>950</v>
      </c>
      <c r="E325" s="64" t="s">
        <v>951</v>
      </c>
      <c r="F325" s="155"/>
      <c r="G325" s="143"/>
      <c r="H325" s="28" t="s">
        <v>181</v>
      </c>
      <c r="I325" s="28" t="s">
        <v>182</v>
      </c>
      <c r="J325" s="28" t="s">
        <v>183</v>
      </c>
      <c r="K325" s="28" t="s">
        <v>179</v>
      </c>
      <c r="L325" s="28" t="s">
        <v>24</v>
      </c>
      <c r="M325" s="28" t="s">
        <v>24</v>
      </c>
      <c r="N325" s="28" t="s">
        <v>180</v>
      </c>
      <c r="O325" s="28" t="s">
        <v>181</v>
      </c>
      <c r="P325" s="28" t="s">
        <v>182</v>
      </c>
      <c r="Q325" s="28" t="s">
        <v>183</v>
      </c>
      <c r="R325" s="28" t="s">
        <v>179</v>
      </c>
      <c r="S325" s="28" t="s">
        <v>24</v>
      </c>
      <c r="T325" s="28" t="s">
        <v>24</v>
      </c>
      <c r="U325" s="28" t="s">
        <v>180</v>
      </c>
      <c r="V325" s="28" t="s">
        <v>181</v>
      </c>
      <c r="W325" s="28" t="s">
        <v>182</v>
      </c>
      <c r="X325" s="28" t="s">
        <v>183</v>
      </c>
      <c r="Y325" s="28" t="s">
        <v>179</v>
      </c>
      <c r="Z325" s="28" t="s">
        <v>24</v>
      </c>
      <c r="AA325" s="28" t="s">
        <v>24</v>
      </c>
      <c r="AB325" s="28" t="s">
        <v>180</v>
      </c>
      <c r="AC325" s="28" t="s">
        <v>181</v>
      </c>
      <c r="AD325" s="28" t="s">
        <v>182</v>
      </c>
      <c r="AE325" s="28" t="s">
        <v>183</v>
      </c>
      <c r="AF325" s="28" t="s">
        <v>179</v>
      </c>
      <c r="AG325" s="28" t="s">
        <v>24</v>
      </c>
      <c r="AH325" s="28" t="s">
        <v>24</v>
      </c>
      <c r="AI325" s="28" t="s">
        <v>180</v>
      </c>
      <c r="AJ325" s="28" t="s">
        <v>181</v>
      </c>
      <c r="AK325" s="28" t="s">
        <v>182</v>
      </c>
      <c r="AL325" s="28" t="s">
        <v>183</v>
      </c>
      <c r="AM325" s="141"/>
      <c r="AN325" s="147"/>
      <c r="AO325" s="149"/>
      <c r="AP325" s="151"/>
      <c r="AQ325" s="153"/>
    </row>
    <row r="326" spans="1:43" ht="13.8" thickBot="1" x14ac:dyDescent="0.3">
      <c r="A326" s="68">
        <v>1</v>
      </c>
      <c r="B326" s="67" t="s">
        <v>965</v>
      </c>
      <c r="C326" s="66" t="s">
        <v>960</v>
      </c>
      <c r="D326" s="66" t="s">
        <v>213</v>
      </c>
      <c r="E326" s="69" t="s">
        <v>197</v>
      </c>
      <c r="F326" s="54"/>
      <c r="G326" s="54"/>
      <c r="H326" s="30">
        <v>0</v>
      </c>
      <c r="I326" s="30">
        <v>0</v>
      </c>
      <c r="J326" s="30">
        <v>0</v>
      </c>
      <c r="K326" s="30">
        <v>0</v>
      </c>
      <c r="L326" s="30">
        <v>0</v>
      </c>
      <c r="M326" s="30">
        <v>0</v>
      </c>
      <c r="N326" s="30">
        <v>0</v>
      </c>
      <c r="O326" s="30">
        <v>0</v>
      </c>
      <c r="P326" s="30">
        <v>0</v>
      </c>
      <c r="Q326" s="30">
        <v>0</v>
      </c>
      <c r="R326" s="30">
        <v>0</v>
      </c>
      <c r="S326" s="30">
        <v>0</v>
      </c>
      <c r="T326" s="30">
        <v>0</v>
      </c>
      <c r="U326" s="30">
        <v>0</v>
      </c>
      <c r="V326" s="30">
        <v>0</v>
      </c>
      <c r="W326" s="30">
        <v>0</v>
      </c>
      <c r="X326" s="30">
        <v>0</v>
      </c>
      <c r="Y326" s="30">
        <v>0</v>
      </c>
      <c r="Z326" s="30">
        <v>0</v>
      </c>
      <c r="AA326" s="30">
        <v>0</v>
      </c>
      <c r="AB326" s="30">
        <v>0</v>
      </c>
      <c r="AC326" s="30">
        <v>0</v>
      </c>
      <c r="AD326" s="30">
        <v>0</v>
      </c>
      <c r="AE326" s="30">
        <v>0</v>
      </c>
      <c r="AF326" s="30">
        <v>0</v>
      </c>
      <c r="AG326" s="30">
        <v>0</v>
      </c>
      <c r="AH326" s="30">
        <v>0</v>
      </c>
      <c r="AI326" s="30">
        <v>0</v>
      </c>
      <c r="AJ326" s="30">
        <v>0</v>
      </c>
      <c r="AK326" s="30">
        <v>0</v>
      </c>
      <c r="AL326" s="30">
        <v>0</v>
      </c>
      <c r="AM326" s="55">
        <f>SUM(H326:AL326)</f>
        <v>0</v>
      </c>
      <c r="AN326" s="55">
        <f>F326+G326-AM326</f>
        <v>0</v>
      </c>
      <c r="AO326" s="72"/>
      <c r="AP326" s="74" t="str">
        <f>IF(AO326="","",IF($A$2&lt;=AO326,IF((AO326-$A$2)&lt;=90,"ALERTA","A TIEMPO"),"CADUCADO"))</f>
        <v/>
      </c>
      <c r="AQ326" s="74" t="str">
        <f>IF(AO326="","",AO326-$A$2)</f>
        <v/>
      </c>
    </row>
    <row r="327" spans="1:43" ht="13.8" thickBot="1" x14ac:dyDescent="0.3">
      <c r="A327" s="68">
        <v>2</v>
      </c>
      <c r="B327" s="67" t="s">
        <v>965</v>
      </c>
      <c r="C327" s="66" t="s">
        <v>960</v>
      </c>
      <c r="D327" s="66" t="s">
        <v>224</v>
      </c>
      <c r="E327" s="71">
        <v>0.01</v>
      </c>
      <c r="F327" s="54"/>
      <c r="G327" s="54"/>
      <c r="H327" s="30">
        <v>0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0">
        <v>0</v>
      </c>
      <c r="R327" s="30">
        <v>0</v>
      </c>
      <c r="S327" s="30">
        <v>0</v>
      </c>
      <c r="T327" s="30">
        <v>0</v>
      </c>
      <c r="U327" s="30">
        <v>0</v>
      </c>
      <c r="V327" s="30">
        <v>0</v>
      </c>
      <c r="W327" s="30">
        <v>0</v>
      </c>
      <c r="X327" s="30">
        <v>0</v>
      </c>
      <c r="Y327" s="30">
        <v>0</v>
      </c>
      <c r="Z327" s="30">
        <v>0</v>
      </c>
      <c r="AA327" s="30">
        <v>0</v>
      </c>
      <c r="AB327" s="30">
        <v>0</v>
      </c>
      <c r="AC327" s="30">
        <v>0</v>
      </c>
      <c r="AD327" s="30">
        <v>0</v>
      </c>
      <c r="AE327" s="30">
        <v>0</v>
      </c>
      <c r="AF327" s="30">
        <v>0</v>
      </c>
      <c r="AG327" s="30">
        <v>0</v>
      </c>
      <c r="AH327" s="30">
        <v>0</v>
      </c>
      <c r="AI327" s="30">
        <v>0</v>
      </c>
      <c r="AJ327" s="30">
        <v>0</v>
      </c>
      <c r="AK327" s="30">
        <v>0</v>
      </c>
      <c r="AL327" s="30">
        <v>0</v>
      </c>
      <c r="AM327" s="55">
        <f t="shared" ref="AM327:AM365" si="46">SUM(H327:AL327)</f>
        <v>0</v>
      </c>
      <c r="AN327" s="55">
        <f t="shared" ref="AN327:AN365" si="47">F327+G327-AM327</f>
        <v>0</v>
      </c>
      <c r="AO327" s="72"/>
      <c r="AP327" s="74" t="str">
        <f t="shared" ref="AP327:AP365" si="48">IF(AO327="","",IF($A$2&lt;=AO327,IF((AO327-$A$2)&lt;=90,"ALERTA","A TIEMPO"),"CADUCADO"))</f>
        <v/>
      </c>
      <c r="AQ327" s="74" t="str">
        <f t="shared" ref="AQ327:AQ365" si="49">IF(AO327="","",AO327-$A$2)</f>
        <v/>
      </c>
    </row>
    <row r="328" spans="1:43" ht="13.8" thickBot="1" x14ac:dyDescent="0.3">
      <c r="A328" s="68">
        <v>3</v>
      </c>
      <c r="B328" s="67" t="s">
        <v>211</v>
      </c>
      <c r="C328" s="66" t="s">
        <v>960</v>
      </c>
      <c r="D328" s="66" t="s">
        <v>198</v>
      </c>
      <c r="E328" s="69" t="s">
        <v>964</v>
      </c>
      <c r="F328" s="54"/>
      <c r="G328" s="54"/>
      <c r="H328" s="30">
        <v>0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0">
        <v>0</v>
      </c>
      <c r="Q328" s="30">
        <v>0</v>
      </c>
      <c r="R328" s="30">
        <v>0</v>
      </c>
      <c r="S328" s="30">
        <v>0</v>
      </c>
      <c r="T328" s="30">
        <v>0</v>
      </c>
      <c r="U328" s="30">
        <v>0</v>
      </c>
      <c r="V328" s="30">
        <v>0</v>
      </c>
      <c r="W328" s="30">
        <v>0</v>
      </c>
      <c r="X328" s="30">
        <v>0</v>
      </c>
      <c r="Y328" s="30">
        <v>0</v>
      </c>
      <c r="Z328" s="30">
        <v>0</v>
      </c>
      <c r="AA328" s="30">
        <v>0</v>
      </c>
      <c r="AB328" s="30">
        <v>0</v>
      </c>
      <c r="AC328" s="30">
        <v>0</v>
      </c>
      <c r="AD328" s="30">
        <v>0</v>
      </c>
      <c r="AE328" s="30">
        <v>0</v>
      </c>
      <c r="AF328" s="30">
        <v>0</v>
      </c>
      <c r="AG328" s="30">
        <v>0</v>
      </c>
      <c r="AH328" s="30">
        <v>0</v>
      </c>
      <c r="AI328" s="30">
        <v>0</v>
      </c>
      <c r="AJ328" s="30">
        <v>0</v>
      </c>
      <c r="AK328" s="30">
        <v>0</v>
      </c>
      <c r="AL328" s="30">
        <v>0</v>
      </c>
      <c r="AM328" s="55">
        <f t="shared" si="46"/>
        <v>0</v>
      </c>
      <c r="AN328" s="55">
        <f t="shared" si="47"/>
        <v>0</v>
      </c>
      <c r="AO328" s="72"/>
      <c r="AP328" s="74" t="str">
        <f t="shared" si="48"/>
        <v/>
      </c>
      <c r="AQ328" s="74" t="str">
        <f t="shared" si="49"/>
        <v/>
      </c>
    </row>
    <row r="329" spans="1:43" ht="13.8" thickBot="1" x14ac:dyDescent="0.3">
      <c r="A329" s="68">
        <v>4</v>
      </c>
      <c r="B329" s="67" t="s">
        <v>985</v>
      </c>
      <c r="C329" s="66" t="s">
        <v>960</v>
      </c>
      <c r="D329" s="66" t="s">
        <v>198</v>
      </c>
      <c r="E329" s="70" t="s">
        <v>986</v>
      </c>
      <c r="F329" s="54"/>
      <c r="G329" s="54"/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>
        <v>0</v>
      </c>
      <c r="S329" s="30">
        <v>0</v>
      </c>
      <c r="T329" s="30">
        <v>0</v>
      </c>
      <c r="U329" s="30">
        <v>0</v>
      </c>
      <c r="V329" s="30">
        <v>0</v>
      </c>
      <c r="W329" s="30">
        <v>0</v>
      </c>
      <c r="X329" s="30">
        <v>0</v>
      </c>
      <c r="Y329" s="30">
        <v>0</v>
      </c>
      <c r="Z329" s="30">
        <v>0</v>
      </c>
      <c r="AA329" s="30">
        <v>0</v>
      </c>
      <c r="AB329" s="30">
        <v>0</v>
      </c>
      <c r="AC329" s="30">
        <v>0</v>
      </c>
      <c r="AD329" s="30">
        <v>0</v>
      </c>
      <c r="AE329" s="30">
        <v>0</v>
      </c>
      <c r="AF329" s="30">
        <v>0</v>
      </c>
      <c r="AG329" s="30">
        <v>0</v>
      </c>
      <c r="AH329" s="30">
        <v>0</v>
      </c>
      <c r="AI329" s="30">
        <v>0</v>
      </c>
      <c r="AJ329" s="30">
        <v>0</v>
      </c>
      <c r="AK329" s="30">
        <v>0</v>
      </c>
      <c r="AL329" s="30">
        <v>0</v>
      </c>
      <c r="AM329" s="55">
        <f t="shared" si="46"/>
        <v>0</v>
      </c>
      <c r="AN329" s="55">
        <f t="shared" si="47"/>
        <v>0</v>
      </c>
      <c r="AO329" s="72"/>
      <c r="AP329" s="74" t="str">
        <f t="shared" si="48"/>
        <v/>
      </c>
      <c r="AQ329" s="74" t="str">
        <f t="shared" si="49"/>
        <v/>
      </c>
    </row>
    <row r="330" spans="1:43" ht="13.8" thickBot="1" x14ac:dyDescent="0.3">
      <c r="A330" s="68">
        <v>4</v>
      </c>
      <c r="B330" s="67" t="s">
        <v>963</v>
      </c>
      <c r="C330" s="66" t="s">
        <v>960</v>
      </c>
      <c r="D330" s="66" t="s">
        <v>213</v>
      </c>
      <c r="E330" s="70" t="s">
        <v>13</v>
      </c>
      <c r="F330" s="54"/>
      <c r="G330" s="54"/>
      <c r="H330" s="30">
        <v>0</v>
      </c>
      <c r="I330" s="30">
        <v>0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0">
        <v>0</v>
      </c>
      <c r="Q330" s="30">
        <v>0</v>
      </c>
      <c r="R330" s="30">
        <v>0</v>
      </c>
      <c r="S330" s="30">
        <v>0</v>
      </c>
      <c r="T330" s="30">
        <v>0</v>
      </c>
      <c r="U330" s="30">
        <v>0</v>
      </c>
      <c r="V330" s="30">
        <v>0</v>
      </c>
      <c r="W330" s="30">
        <v>0</v>
      </c>
      <c r="X330" s="30">
        <v>0</v>
      </c>
      <c r="Y330" s="30">
        <v>0</v>
      </c>
      <c r="Z330" s="30">
        <v>0</v>
      </c>
      <c r="AA330" s="30">
        <v>0</v>
      </c>
      <c r="AB330" s="30">
        <v>0</v>
      </c>
      <c r="AC330" s="30">
        <v>0</v>
      </c>
      <c r="AD330" s="30">
        <v>0</v>
      </c>
      <c r="AE330" s="30">
        <v>0</v>
      </c>
      <c r="AF330" s="30">
        <v>0</v>
      </c>
      <c r="AG330" s="30">
        <v>0</v>
      </c>
      <c r="AH330" s="30">
        <v>0</v>
      </c>
      <c r="AI330" s="30">
        <v>0</v>
      </c>
      <c r="AJ330" s="30">
        <v>0</v>
      </c>
      <c r="AK330" s="30">
        <v>0</v>
      </c>
      <c r="AL330" s="30">
        <v>0</v>
      </c>
      <c r="AM330" s="55">
        <f t="shared" si="46"/>
        <v>0</v>
      </c>
      <c r="AN330" s="55">
        <f t="shared" si="47"/>
        <v>0</v>
      </c>
      <c r="AO330" s="72"/>
      <c r="AP330" s="74" t="str">
        <f t="shared" si="48"/>
        <v/>
      </c>
      <c r="AQ330" s="74" t="str">
        <f t="shared" si="49"/>
        <v/>
      </c>
    </row>
    <row r="331" spans="1:43" ht="13.8" thickBot="1" x14ac:dyDescent="0.3">
      <c r="A331" s="68">
        <v>5</v>
      </c>
      <c r="B331" s="67" t="s">
        <v>228</v>
      </c>
      <c r="C331" s="66" t="s">
        <v>960</v>
      </c>
      <c r="D331" s="66" t="s">
        <v>213</v>
      </c>
      <c r="E331" s="69" t="s">
        <v>229</v>
      </c>
      <c r="F331" s="54"/>
      <c r="G331" s="54"/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  <c r="R331" s="30">
        <v>0</v>
      </c>
      <c r="S331" s="30">
        <v>0</v>
      </c>
      <c r="T331" s="30">
        <v>0</v>
      </c>
      <c r="U331" s="30">
        <v>0</v>
      </c>
      <c r="V331" s="30">
        <v>0</v>
      </c>
      <c r="W331" s="30">
        <v>0</v>
      </c>
      <c r="X331" s="30">
        <v>0</v>
      </c>
      <c r="Y331" s="30">
        <v>0</v>
      </c>
      <c r="Z331" s="30">
        <v>0</v>
      </c>
      <c r="AA331" s="30">
        <v>0</v>
      </c>
      <c r="AB331" s="30">
        <v>0</v>
      </c>
      <c r="AC331" s="30">
        <v>0</v>
      </c>
      <c r="AD331" s="30">
        <v>0</v>
      </c>
      <c r="AE331" s="30">
        <v>0</v>
      </c>
      <c r="AF331" s="30">
        <v>0</v>
      </c>
      <c r="AG331" s="30">
        <v>0</v>
      </c>
      <c r="AH331" s="30">
        <v>0</v>
      </c>
      <c r="AI331" s="30">
        <v>0</v>
      </c>
      <c r="AJ331" s="30">
        <v>0</v>
      </c>
      <c r="AK331" s="30">
        <v>0</v>
      </c>
      <c r="AL331" s="30">
        <v>0</v>
      </c>
      <c r="AM331" s="55">
        <f t="shared" si="46"/>
        <v>0</v>
      </c>
      <c r="AN331" s="55">
        <f t="shared" si="47"/>
        <v>0</v>
      </c>
      <c r="AO331" s="72"/>
      <c r="AP331" s="74" t="str">
        <f t="shared" si="48"/>
        <v/>
      </c>
      <c r="AQ331" s="74" t="str">
        <f t="shared" si="49"/>
        <v/>
      </c>
    </row>
    <row r="332" spans="1:43" ht="13.8" thickBot="1" x14ac:dyDescent="0.3">
      <c r="A332" s="68">
        <v>6</v>
      </c>
      <c r="B332" s="67" t="s">
        <v>968</v>
      </c>
      <c r="C332" s="66" t="s">
        <v>960</v>
      </c>
      <c r="D332" s="66" t="s">
        <v>198</v>
      </c>
      <c r="E332" s="69" t="s">
        <v>199</v>
      </c>
      <c r="F332" s="54"/>
      <c r="G332" s="54"/>
      <c r="H332" s="30">
        <v>0</v>
      </c>
      <c r="I332" s="30">
        <v>0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O332" s="30">
        <v>0</v>
      </c>
      <c r="P332" s="30">
        <v>0</v>
      </c>
      <c r="Q332" s="30">
        <v>0</v>
      </c>
      <c r="R332" s="30">
        <v>0</v>
      </c>
      <c r="S332" s="30">
        <v>0</v>
      </c>
      <c r="T332" s="30">
        <v>0</v>
      </c>
      <c r="U332" s="30">
        <v>0</v>
      </c>
      <c r="V332" s="30">
        <v>0</v>
      </c>
      <c r="W332" s="30">
        <v>0</v>
      </c>
      <c r="X332" s="30">
        <v>0</v>
      </c>
      <c r="Y332" s="30">
        <v>0</v>
      </c>
      <c r="Z332" s="30">
        <v>0</v>
      </c>
      <c r="AA332" s="30">
        <v>0</v>
      </c>
      <c r="AB332" s="30">
        <v>0</v>
      </c>
      <c r="AC332" s="30">
        <v>0</v>
      </c>
      <c r="AD332" s="30">
        <v>0</v>
      </c>
      <c r="AE332" s="30">
        <v>0</v>
      </c>
      <c r="AF332" s="30">
        <v>0</v>
      </c>
      <c r="AG332" s="30">
        <v>0</v>
      </c>
      <c r="AH332" s="30">
        <v>0</v>
      </c>
      <c r="AI332" s="30">
        <v>0</v>
      </c>
      <c r="AJ332" s="30">
        <v>0</v>
      </c>
      <c r="AK332" s="30">
        <v>0</v>
      </c>
      <c r="AL332" s="30">
        <v>0</v>
      </c>
      <c r="AM332" s="55">
        <f t="shared" si="46"/>
        <v>0</v>
      </c>
      <c r="AN332" s="55">
        <f t="shared" si="47"/>
        <v>0</v>
      </c>
      <c r="AO332" s="72"/>
      <c r="AP332" s="74" t="str">
        <f t="shared" si="48"/>
        <v/>
      </c>
      <c r="AQ332" s="74" t="str">
        <f t="shared" si="49"/>
        <v/>
      </c>
    </row>
    <row r="333" spans="1:43" ht="13.8" thickBot="1" x14ac:dyDescent="0.3">
      <c r="A333" s="68">
        <v>7</v>
      </c>
      <c r="B333" s="67" t="s">
        <v>220</v>
      </c>
      <c r="C333" s="66" t="s">
        <v>960</v>
      </c>
      <c r="D333" s="66" t="s">
        <v>198</v>
      </c>
      <c r="E333" s="69" t="s">
        <v>195</v>
      </c>
      <c r="F333" s="54"/>
      <c r="G333" s="54"/>
      <c r="H333" s="30">
        <v>0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0</v>
      </c>
      <c r="Q333" s="30">
        <v>0</v>
      </c>
      <c r="R333" s="30">
        <v>0</v>
      </c>
      <c r="S333" s="30">
        <v>0</v>
      </c>
      <c r="T333" s="30">
        <v>0</v>
      </c>
      <c r="U333" s="30">
        <v>0</v>
      </c>
      <c r="V333" s="30">
        <v>0</v>
      </c>
      <c r="W333" s="30">
        <v>0</v>
      </c>
      <c r="X333" s="30">
        <v>0</v>
      </c>
      <c r="Y333" s="30">
        <v>0</v>
      </c>
      <c r="Z333" s="30">
        <v>0</v>
      </c>
      <c r="AA333" s="30">
        <v>0</v>
      </c>
      <c r="AB333" s="30">
        <v>0</v>
      </c>
      <c r="AC333" s="30">
        <v>0</v>
      </c>
      <c r="AD333" s="30">
        <v>0</v>
      </c>
      <c r="AE333" s="30">
        <v>0</v>
      </c>
      <c r="AF333" s="30">
        <v>0</v>
      </c>
      <c r="AG333" s="30">
        <v>0</v>
      </c>
      <c r="AH333" s="30">
        <v>0</v>
      </c>
      <c r="AI333" s="30">
        <v>0</v>
      </c>
      <c r="AJ333" s="30">
        <v>0</v>
      </c>
      <c r="AK333" s="30">
        <v>0</v>
      </c>
      <c r="AL333" s="30">
        <v>0</v>
      </c>
      <c r="AM333" s="55">
        <f t="shared" si="46"/>
        <v>0</v>
      </c>
      <c r="AN333" s="55">
        <f t="shared" si="47"/>
        <v>0</v>
      </c>
      <c r="AO333" s="72"/>
      <c r="AP333" s="74" t="str">
        <f t="shared" si="48"/>
        <v/>
      </c>
      <c r="AQ333" s="74" t="str">
        <f t="shared" si="49"/>
        <v/>
      </c>
    </row>
    <row r="334" spans="1:43" ht="13.8" thickBot="1" x14ac:dyDescent="0.3">
      <c r="A334" s="68">
        <v>8</v>
      </c>
      <c r="B334" s="67" t="s">
        <v>962</v>
      </c>
      <c r="C334" s="66" t="s">
        <v>960</v>
      </c>
      <c r="D334" s="66" t="s">
        <v>198</v>
      </c>
      <c r="E334" s="69" t="s">
        <v>961</v>
      </c>
      <c r="F334" s="54"/>
      <c r="G334" s="54"/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0</v>
      </c>
      <c r="Q334" s="30">
        <v>0</v>
      </c>
      <c r="R334" s="30">
        <v>0</v>
      </c>
      <c r="S334" s="30">
        <v>0</v>
      </c>
      <c r="T334" s="30">
        <v>0</v>
      </c>
      <c r="U334" s="30">
        <v>0</v>
      </c>
      <c r="V334" s="30">
        <v>0</v>
      </c>
      <c r="W334" s="30">
        <v>0</v>
      </c>
      <c r="X334" s="30">
        <v>0</v>
      </c>
      <c r="Y334" s="30">
        <v>0</v>
      </c>
      <c r="Z334" s="30">
        <v>0</v>
      </c>
      <c r="AA334" s="30">
        <v>0</v>
      </c>
      <c r="AB334" s="30">
        <v>0</v>
      </c>
      <c r="AC334" s="30">
        <v>0</v>
      </c>
      <c r="AD334" s="30">
        <v>0</v>
      </c>
      <c r="AE334" s="30">
        <v>0</v>
      </c>
      <c r="AF334" s="30">
        <v>0</v>
      </c>
      <c r="AG334" s="30">
        <v>0</v>
      </c>
      <c r="AH334" s="30">
        <v>0</v>
      </c>
      <c r="AI334" s="30">
        <v>0</v>
      </c>
      <c r="AJ334" s="30">
        <v>0</v>
      </c>
      <c r="AK334" s="30">
        <v>0</v>
      </c>
      <c r="AL334" s="30">
        <v>0</v>
      </c>
      <c r="AM334" s="55">
        <f t="shared" si="46"/>
        <v>0</v>
      </c>
      <c r="AN334" s="55">
        <f t="shared" si="47"/>
        <v>0</v>
      </c>
      <c r="AO334" s="72"/>
      <c r="AP334" s="74" t="str">
        <f t="shared" si="48"/>
        <v/>
      </c>
      <c r="AQ334" s="74" t="str">
        <f t="shared" si="49"/>
        <v/>
      </c>
    </row>
    <row r="335" spans="1:43" ht="13.8" thickBot="1" x14ac:dyDescent="0.3">
      <c r="A335" s="68">
        <v>9</v>
      </c>
      <c r="B335" s="67" t="s">
        <v>966</v>
      </c>
      <c r="C335" s="66" t="s">
        <v>960</v>
      </c>
      <c r="D335" s="66" t="s">
        <v>201</v>
      </c>
      <c r="E335" s="69" t="s">
        <v>967</v>
      </c>
      <c r="F335" s="54"/>
      <c r="G335" s="54"/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0</v>
      </c>
      <c r="X335" s="30">
        <v>0</v>
      </c>
      <c r="Y335" s="30">
        <v>0</v>
      </c>
      <c r="Z335" s="30">
        <v>0</v>
      </c>
      <c r="AA335" s="30">
        <v>0</v>
      </c>
      <c r="AB335" s="30">
        <v>0</v>
      </c>
      <c r="AC335" s="30">
        <v>0</v>
      </c>
      <c r="AD335" s="30">
        <v>0</v>
      </c>
      <c r="AE335" s="30">
        <v>0</v>
      </c>
      <c r="AF335" s="30">
        <v>0</v>
      </c>
      <c r="AG335" s="30">
        <v>0</v>
      </c>
      <c r="AH335" s="30">
        <v>0</v>
      </c>
      <c r="AI335" s="30">
        <v>0</v>
      </c>
      <c r="AJ335" s="30">
        <v>0</v>
      </c>
      <c r="AK335" s="30">
        <v>0</v>
      </c>
      <c r="AL335" s="30">
        <v>0</v>
      </c>
      <c r="AM335" s="55">
        <f t="shared" si="46"/>
        <v>0</v>
      </c>
      <c r="AN335" s="55">
        <f t="shared" si="47"/>
        <v>0</v>
      </c>
      <c r="AO335" s="72"/>
      <c r="AP335" s="74" t="str">
        <f t="shared" si="48"/>
        <v/>
      </c>
      <c r="AQ335" s="74" t="str">
        <f t="shared" si="49"/>
        <v/>
      </c>
    </row>
    <row r="336" spans="1:43" ht="13.8" thickBot="1" x14ac:dyDescent="0.3">
      <c r="A336" s="68">
        <v>10</v>
      </c>
      <c r="B336" s="67" t="s">
        <v>194</v>
      </c>
      <c r="C336" s="66" t="s">
        <v>969</v>
      </c>
      <c r="D336" s="66" t="s">
        <v>198</v>
      </c>
      <c r="E336" s="69" t="s">
        <v>195</v>
      </c>
      <c r="F336" s="54"/>
      <c r="G336" s="54"/>
      <c r="H336" s="30">
        <v>0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0</v>
      </c>
      <c r="Q336" s="30">
        <v>0</v>
      </c>
      <c r="R336" s="30">
        <v>0</v>
      </c>
      <c r="S336" s="30">
        <v>0</v>
      </c>
      <c r="T336" s="30">
        <v>0</v>
      </c>
      <c r="U336" s="30">
        <v>0</v>
      </c>
      <c r="V336" s="30">
        <v>0</v>
      </c>
      <c r="W336" s="30">
        <v>0</v>
      </c>
      <c r="X336" s="30">
        <v>0</v>
      </c>
      <c r="Y336" s="30">
        <v>0</v>
      </c>
      <c r="Z336" s="30">
        <v>0</v>
      </c>
      <c r="AA336" s="30">
        <v>0</v>
      </c>
      <c r="AB336" s="30">
        <v>0</v>
      </c>
      <c r="AC336" s="30">
        <v>0</v>
      </c>
      <c r="AD336" s="30">
        <v>0</v>
      </c>
      <c r="AE336" s="30">
        <v>0</v>
      </c>
      <c r="AF336" s="30">
        <v>0</v>
      </c>
      <c r="AG336" s="30">
        <v>0</v>
      </c>
      <c r="AH336" s="30">
        <v>0</v>
      </c>
      <c r="AI336" s="30">
        <v>0</v>
      </c>
      <c r="AJ336" s="30">
        <v>0</v>
      </c>
      <c r="AK336" s="30">
        <v>0</v>
      </c>
      <c r="AL336" s="30">
        <v>0</v>
      </c>
      <c r="AM336" s="55">
        <f t="shared" si="46"/>
        <v>0</v>
      </c>
      <c r="AN336" s="55">
        <f t="shared" si="47"/>
        <v>0</v>
      </c>
      <c r="AO336" s="72"/>
      <c r="AP336" s="74" t="str">
        <f t="shared" si="48"/>
        <v/>
      </c>
      <c r="AQ336" s="74" t="str">
        <f t="shared" si="49"/>
        <v/>
      </c>
    </row>
    <row r="337" spans="1:43" ht="13.8" thickBot="1" x14ac:dyDescent="0.3">
      <c r="A337" s="68">
        <v>11</v>
      </c>
      <c r="B337" s="67" t="s">
        <v>200</v>
      </c>
      <c r="C337" s="66" t="s">
        <v>969</v>
      </c>
      <c r="D337" s="66" t="s">
        <v>198</v>
      </c>
      <c r="E337" s="69" t="s">
        <v>970</v>
      </c>
      <c r="F337" s="54"/>
      <c r="G337" s="54"/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  <c r="R337" s="30">
        <v>0</v>
      </c>
      <c r="S337" s="30">
        <v>0</v>
      </c>
      <c r="T337" s="30">
        <v>0</v>
      </c>
      <c r="U337" s="30">
        <v>0</v>
      </c>
      <c r="V337" s="30">
        <v>0</v>
      </c>
      <c r="W337" s="30">
        <v>0</v>
      </c>
      <c r="X337" s="30">
        <v>0</v>
      </c>
      <c r="Y337" s="30">
        <v>0</v>
      </c>
      <c r="Z337" s="30">
        <v>0</v>
      </c>
      <c r="AA337" s="30">
        <v>0</v>
      </c>
      <c r="AB337" s="30">
        <v>0</v>
      </c>
      <c r="AC337" s="30">
        <v>0</v>
      </c>
      <c r="AD337" s="30">
        <v>0</v>
      </c>
      <c r="AE337" s="30">
        <v>0</v>
      </c>
      <c r="AF337" s="30">
        <v>0</v>
      </c>
      <c r="AG337" s="30">
        <v>0</v>
      </c>
      <c r="AH337" s="30">
        <v>0</v>
      </c>
      <c r="AI337" s="30">
        <v>0</v>
      </c>
      <c r="AJ337" s="30">
        <v>0</v>
      </c>
      <c r="AK337" s="30">
        <v>0</v>
      </c>
      <c r="AL337" s="30">
        <v>0</v>
      </c>
      <c r="AM337" s="55">
        <f t="shared" si="46"/>
        <v>0</v>
      </c>
      <c r="AN337" s="55">
        <f t="shared" si="47"/>
        <v>0</v>
      </c>
      <c r="AO337" s="72"/>
      <c r="AP337" s="74" t="str">
        <f t="shared" si="48"/>
        <v/>
      </c>
      <c r="AQ337" s="74" t="str">
        <f t="shared" si="49"/>
        <v/>
      </c>
    </row>
    <row r="338" spans="1:43" ht="13.8" thickBot="1" x14ac:dyDescent="0.3">
      <c r="A338" s="68">
        <v>12</v>
      </c>
      <c r="B338" s="67" t="s">
        <v>972</v>
      </c>
      <c r="C338" s="69" t="s">
        <v>971</v>
      </c>
      <c r="D338" s="66" t="s">
        <v>213</v>
      </c>
      <c r="E338" s="69" t="s">
        <v>203</v>
      </c>
      <c r="F338" s="54"/>
      <c r="G338" s="54"/>
      <c r="H338" s="30">
        <v>0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0">
        <v>0</v>
      </c>
      <c r="Q338" s="30">
        <v>0</v>
      </c>
      <c r="R338" s="30">
        <v>0</v>
      </c>
      <c r="S338" s="30">
        <v>0</v>
      </c>
      <c r="T338" s="30">
        <v>0</v>
      </c>
      <c r="U338" s="30">
        <v>0</v>
      </c>
      <c r="V338" s="30">
        <v>0</v>
      </c>
      <c r="W338" s="30">
        <v>0</v>
      </c>
      <c r="X338" s="30">
        <v>0</v>
      </c>
      <c r="Y338" s="30">
        <v>0</v>
      </c>
      <c r="Z338" s="30">
        <v>0</v>
      </c>
      <c r="AA338" s="30">
        <v>0</v>
      </c>
      <c r="AB338" s="30">
        <v>0</v>
      </c>
      <c r="AC338" s="30">
        <v>0</v>
      </c>
      <c r="AD338" s="30">
        <v>0</v>
      </c>
      <c r="AE338" s="30">
        <v>0</v>
      </c>
      <c r="AF338" s="30">
        <v>0</v>
      </c>
      <c r="AG338" s="30">
        <v>0</v>
      </c>
      <c r="AH338" s="30">
        <v>0</v>
      </c>
      <c r="AI338" s="30">
        <v>0</v>
      </c>
      <c r="AJ338" s="30">
        <v>0</v>
      </c>
      <c r="AK338" s="30">
        <v>0</v>
      </c>
      <c r="AL338" s="30">
        <v>0</v>
      </c>
      <c r="AM338" s="55">
        <f t="shared" si="46"/>
        <v>0</v>
      </c>
      <c r="AN338" s="55">
        <f t="shared" si="47"/>
        <v>0</v>
      </c>
      <c r="AO338" s="72"/>
      <c r="AP338" s="74" t="str">
        <f t="shared" si="48"/>
        <v/>
      </c>
      <c r="AQ338" s="74" t="str">
        <f t="shared" si="49"/>
        <v/>
      </c>
    </row>
    <row r="339" spans="1:43" ht="13.8" thickBot="1" x14ac:dyDescent="0.3">
      <c r="A339" s="68">
        <v>13</v>
      </c>
      <c r="B339" s="67" t="s">
        <v>212</v>
      </c>
      <c r="C339" s="69" t="s">
        <v>971</v>
      </c>
      <c r="D339" s="66" t="s">
        <v>213</v>
      </c>
      <c r="E339" s="69" t="s">
        <v>203</v>
      </c>
      <c r="F339" s="54"/>
      <c r="G339" s="54"/>
      <c r="H339" s="30">
        <v>0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0</v>
      </c>
      <c r="P339" s="30">
        <v>0</v>
      </c>
      <c r="Q339" s="30">
        <v>0</v>
      </c>
      <c r="R339" s="30">
        <v>0</v>
      </c>
      <c r="S339" s="30">
        <v>0</v>
      </c>
      <c r="T339" s="30">
        <v>0</v>
      </c>
      <c r="U339" s="30">
        <v>0</v>
      </c>
      <c r="V339" s="30">
        <v>0</v>
      </c>
      <c r="W339" s="30">
        <v>0</v>
      </c>
      <c r="X339" s="30">
        <v>0</v>
      </c>
      <c r="Y339" s="30">
        <v>0</v>
      </c>
      <c r="Z339" s="30">
        <v>0</v>
      </c>
      <c r="AA339" s="30">
        <v>0</v>
      </c>
      <c r="AB339" s="30">
        <v>0</v>
      </c>
      <c r="AC339" s="30">
        <v>0</v>
      </c>
      <c r="AD339" s="30">
        <v>0</v>
      </c>
      <c r="AE339" s="30">
        <v>0</v>
      </c>
      <c r="AF339" s="30">
        <v>0</v>
      </c>
      <c r="AG339" s="30">
        <v>0</v>
      </c>
      <c r="AH339" s="30">
        <v>0</v>
      </c>
      <c r="AI339" s="30">
        <v>0</v>
      </c>
      <c r="AJ339" s="30">
        <v>0</v>
      </c>
      <c r="AK339" s="30">
        <v>0</v>
      </c>
      <c r="AL339" s="30">
        <v>0</v>
      </c>
      <c r="AM339" s="55">
        <f t="shared" si="46"/>
        <v>0</v>
      </c>
      <c r="AN339" s="55">
        <f t="shared" si="47"/>
        <v>0</v>
      </c>
      <c r="AO339" s="72"/>
      <c r="AP339" s="74" t="str">
        <f t="shared" si="48"/>
        <v/>
      </c>
      <c r="AQ339" s="74" t="str">
        <f t="shared" si="49"/>
        <v/>
      </c>
    </row>
    <row r="340" spans="1:43" ht="13.8" thickBot="1" x14ac:dyDescent="0.3">
      <c r="A340" s="68">
        <v>14</v>
      </c>
      <c r="B340" s="67" t="s">
        <v>204</v>
      </c>
      <c r="C340" s="69" t="s">
        <v>46</v>
      </c>
      <c r="D340" s="66" t="s">
        <v>198</v>
      </c>
      <c r="E340" s="70" t="s">
        <v>13</v>
      </c>
      <c r="F340" s="54"/>
      <c r="G340" s="54"/>
      <c r="H340" s="30">
        <v>0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30">
        <v>0</v>
      </c>
      <c r="R340" s="30">
        <v>0</v>
      </c>
      <c r="S340" s="30">
        <v>0</v>
      </c>
      <c r="T340" s="30">
        <v>0</v>
      </c>
      <c r="U340" s="30">
        <v>0</v>
      </c>
      <c r="V340" s="30">
        <v>0</v>
      </c>
      <c r="W340" s="30">
        <v>0</v>
      </c>
      <c r="X340" s="30">
        <v>0</v>
      </c>
      <c r="Y340" s="30">
        <v>0</v>
      </c>
      <c r="Z340" s="30">
        <v>0</v>
      </c>
      <c r="AA340" s="30">
        <v>0</v>
      </c>
      <c r="AB340" s="30">
        <v>0</v>
      </c>
      <c r="AC340" s="30">
        <v>0</v>
      </c>
      <c r="AD340" s="30">
        <v>0</v>
      </c>
      <c r="AE340" s="30">
        <v>0</v>
      </c>
      <c r="AF340" s="30">
        <v>0</v>
      </c>
      <c r="AG340" s="30">
        <v>0</v>
      </c>
      <c r="AH340" s="30">
        <v>0</v>
      </c>
      <c r="AI340" s="30">
        <v>0</v>
      </c>
      <c r="AJ340" s="30">
        <v>0</v>
      </c>
      <c r="AK340" s="30">
        <v>0</v>
      </c>
      <c r="AL340" s="30">
        <v>0</v>
      </c>
      <c r="AM340" s="55">
        <f t="shared" si="46"/>
        <v>0</v>
      </c>
      <c r="AN340" s="55">
        <f t="shared" si="47"/>
        <v>0</v>
      </c>
      <c r="AO340" s="72"/>
      <c r="AP340" s="74" t="str">
        <f t="shared" si="48"/>
        <v/>
      </c>
      <c r="AQ340" s="74" t="str">
        <f t="shared" si="49"/>
        <v/>
      </c>
    </row>
    <row r="341" spans="1:43" ht="13.8" thickBot="1" x14ac:dyDescent="0.3">
      <c r="A341" s="68">
        <v>15</v>
      </c>
      <c r="B341" s="67" t="s">
        <v>973</v>
      </c>
      <c r="C341" s="69" t="s">
        <v>46</v>
      </c>
      <c r="D341" s="66" t="s">
        <v>201</v>
      </c>
      <c r="E341" s="69" t="s">
        <v>203</v>
      </c>
      <c r="F341" s="54"/>
      <c r="G341" s="54"/>
      <c r="H341" s="30">
        <v>0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0</v>
      </c>
      <c r="P341" s="30">
        <v>0</v>
      </c>
      <c r="Q341" s="30">
        <v>0</v>
      </c>
      <c r="R341" s="30">
        <v>0</v>
      </c>
      <c r="S341" s="30">
        <v>0</v>
      </c>
      <c r="T341" s="30">
        <v>0</v>
      </c>
      <c r="U341" s="30">
        <v>0</v>
      </c>
      <c r="V341" s="30">
        <v>0</v>
      </c>
      <c r="W341" s="30">
        <v>0</v>
      </c>
      <c r="X341" s="30">
        <v>0</v>
      </c>
      <c r="Y341" s="30">
        <v>0</v>
      </c>
      <c r="Z341" s="30">
        <v>0</v>
      </c>
      <c r="AA341" s="30">
        <v>0</v>
      </c>
      <c r="AB341" s="30">
        <v>0</v>
      </c>
      <c r="AC341" s="30">
        <v>0</v>
      </c>
      <c r="AD341" s="30">
        <v>0</v>
      </c>
      <c r="AE341" s="30">
        <v>0</v>
      </c>
      <c r="AF341" s="30">
        <v>0</v>
      </c>
      <c r="AG341" s="30">
        <v>0</v>
      </c>
      <c r="AH341" s="30">
        <v>0</v>
      </c>
      <c r="AI341" s="30">
        <v>0</v>
      </c>
      <c r="AJ341" s="30">
        <v>0</v>
      </c>
      <c r="AK341" s="30">
        <v>0</v>
      </c>
      <c r="AL341" s="30">
        <v>0</v>
      </c>
      <c r="AM341" s="55">
        <f t="shared" si="46"/>
        <v>0</v>
      </c>
      <c r="AN341" s="55">
        <f t="shared" si="47"/>
        <v>0</v>
      </c>
      <c r="AO341" s="72"/>
      <c r="AP341" s="74" t="str">
        <f t="shared" si="48"/>
        <v/>
      </c>
      <c r="AQ341" s="74" t="str">
        <f t="shared" si="49"/>
        <v/>
      </c>
    </row>
    <row r="342" spans="1:43" ht="13.8" thickBot="1" x14ac:dyDescent="0.3">
      <c r="A342" s="68">
        <v>16</v>
      </c>
      <c r="B342" s="67" t="s">
        <v>218</v>
      </c>
      <c r="C342" s="69" t="s">
        <v>46</v>
      </c>
      <c r="D342" s="66" t="s">
        <v>198</v>
      </c>
      <c r="E342" s="69" t="s">
        <v>975</v>
      </c>
      <c r="F342" s="54"/>
      <c r="G342" s="54"/>
      <c r="H342" s="30">
        <v>0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0</v>
      </c>
      <c r="P342" s="30">
        <v>0</v>
      </c>
      <c r="Q342" s="30">
        <v>0</v>
      </c>
      <c r="R342" s="30">
        <v>0</v>
      </c>
      <c r="S342" s="30">
        <v>0</v>
      </c>
      <c r="T342" s="30">
        <v>0</v>
      </c>
      <c r="U342" s="30">
        <v>0</v>
      </c>
      <c r="V342" s="30">
        <v>0</v>
      </c>
      <c r="W342" s="30">
        <v>0</v>
      </c>
      <c r="X342" s="30">
        <v>0</v>
      </c>
      <c r="Y342" s="30">
        <v>0</v>
      </c>
      <c r="Z342" s="30">
        <v>0</v>
      </c>
      <c r="AA342" s="30">
        <v>0</v>
      </c>
      <c r="AB342" s="30">
        <v>0</v>
      </c>
      <c r="AC342" s="30">
        <v>0</v>
      </c>
      <c r="AD342" s="30">
        <v>0</v>
      </c>
      <c r="AE342" s="30">
        <v>0</v>
      </c>
      <c r="AF342" s="30">
        <v>0</v>
      </c>
      <c r="AG342" s="30">
        <v>0</v>
      </c>
      <c r="AH342" s="30">
        <v>0</v>
      </c>
      <c r="AI342" s="30">
        <v>0</v>
      </c>
      <c r="AJ342" s="30">
        <v>0</v>
      </c>
      <c r="AK342" s="30">
        <v>0</v>
      </c>
      <c r="AL342" s="30">
        <v>0</v>
      </c>
      <c r="AM342" s="55">
        <f t="shared" si="46"/>
        <v>0</v>
      </c>
      <c r="AN342" s="55">
        <f t="shared" si="47"/>
        <v>0</v>
      </c>
      <c r="AO342" s="72"/>
      <c r="AP342" s="74" t="str">
        <f t="shared" si="48"/>
        <v/>
      </c>
      <c r="AQ342" s="74" t="str">
        <f t="shared" si="49"/>
        <v/>
      </c>
    </row>
    <row r="343" spans="1:43" ht="13.8" thickBot="1" x14ac:dyDescent="0.3">
      <c r="A343" s="68">
        <v>17</v>
      </c>
      <c r="B343" s="67" t="s">
        <v>974</v>
      </c>
      <c r="C343" s="69" t="s">
        <v>46</v>
      </c>
      <c r="D343" s="66" t="s">
        <v>210</v>
      </c>
      <c r="E343" s="70" t="s">
        <v>13</v>
      </c>
      <c r="F343" s="54"/>
      <c r="G343" s="54"/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30">
        <v>0</v>
      </c>
      <c r="V343" s="30">
        <v>0</v>
      </c>
      <c r="W343" s="30">
        <v>0</v>
      </c>
      <c r="X343" s="30">
        <v>0</v>
      </c>
      <c r="Y343" s="30">
        <v>0</v>
      </c>
      <c r="Z343" s="30">
        <v>0</v>
      </c>
      <c r="AA343" s="30">
        <v>0</v>
      </c>
      <c r="AB343" s="30">
        <v>0</v>
      </c>
      <c r="AC343" s="30">
        <v>0</v>
      </c>
      <c r="AD343" s="30">
        <v>0</v>
      </c>
      <c r="AE343" s="30">
        <v>0</v>
      </c>
      <c r="AF343" s="30">
        <v>0</v>
      </c>
      <c r="AG343" s="30">
        <v>0</v>
      </c>
      <c r="AH343" s="30">
        <v>0</v>
      </c>
      <c r="AI343" s="30">
        <v>0</v>
      </c>
      <c r="AJ343" s="30">
        <v>0</v>
      </c>
      <c r="AK343" s="30">
        <v>0</v>
      </c>
      <c r="AL343" s="30">
        <v>0</v>
      </c>
      <c r="AM343" s="55">
        <f t="shared" si="46"/>
        <v>0</v>
      </c>
      <c r="AN343" s="55">
        <f t="shared" si="47"/>
        <v>0</v>
      </c>
      <c r="AO343" s="72"/>
      <c r="AP343" s="74" t="str">
        <f t="shared" si="48"/>
        <v/>
      </c>
      <c r="AQ343" s="74" t="str">
        <f t="shared" si="49"/>
        <v/>
      </c>
    </row>
    <row r="344" spans="1:43" ht="13.8" thickBot="1" x14ac:dyDescent="0.3">
      <c r="A344" s="68">
        <v>18</v>
      </c>
      <c r="B344" s="67" t="s">
        <v>221</v>
      </c>
      <c r="C344" s="69" t="s">
        <v>46</v>
      </c>
      <c r="D344" s="66" t="s">
        <v>976</v>
      </c>
      <c r="E344" s="70" t="s">
        <v>13</v>
      </c>
      <c r="F344" s="54"/>
      <c r="G344" s="54"/>
      <c r="H344" s="30">
        <v>0</v>
      </c>
      <c r="I344" s="30">
        <v>0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0">
        <v>0</v>
      </c>
      <c r="Q344" s="30">
        <v>0</v>
      </c>
      <c r="R344" s="30">
        <v>0</v>
      </c>
      <c r="S344" s="30">
        <v>0</v>
      </c>
      <c r="T344" s="30">
        <v>0</v>
      </c>
      <c r="U344" s="30">
        <v>0</v>
      </c>
      <c r="V344" s="30">
        <v>0</v>
      </c>
      <c r="W344" s="30">
        <v>0</v>
      </c>
      <c r="X344" s="30">
        <v>0</v>
      </c>
      <c r="Y344" s="30">
        <v>0</v>
      </c>
      <c r="Z344" s="30">
        <v>0</v>
      </c>
      <c r="AA344" s="30">
        <v>0</v>
      </c>
      <c r="AB344" s="30">
        <v>0</v>
      </c>
      <c r="AC344" s="30">
        <v>0</v>
      </c>
      <c r="AD344" s="30">
        <v>0</v>
      </c>
      <c r="AE344" s="30">
        <v>0</v>
      </c>
      <c r="AF344" s="30">
        <v>0</v>
      </c>
      <c r="AG344" s="30">
        <v>0</v>
      </c>
      <c r="AH344" s="30">
        <v>0</v>
      </c>
      <c r="AI344" s="30">
        <v>0</v>
      </c>
      <c r="AJ344" s="30">
        <v>0</v>
      </c>
      <c r="AK344" s="30">
        <v>0</v>
      </c>
      <c r="AL344" s="30">
        <v>0</v>
      </c>
      <c r="AM344" s="55">
        <f t="shared" si="46"/>
        <v>0</v>
      </c>
      <c r="AN344" s="55">
        <f t="shared" si="47"/>
        <v>0</v>
      </c>
      <c r="AO344" s="72"/>
      <c r="AP344" s="74" t="str">
        <f t="shared" si="48"/>
        <v/>
      </c>
      <c r="AQ344" s="74" t="str">
        <f t="shared" si="49"/>
        <v/>
      </c>
    </row>
    <row r="345" spans="1:43" ht="13.8" thickBot="1" x14ac:dyDescent="0.3">
      <c r="A345" s="68">
        <v>19</v>
      </c>
      <c r="B345" s="67" t="s">
        <v>223</v>
      </c>
      <c r="C345" s="69" t="s">
        <v>977</v>
      </c>
      <c r="D345" s="66" t="s">
        <v>224</v>
      </c>
      <c r="E345" s="69" t="s">
        <v>978</v>
      </c>
      <c r="F345" s="54"/>
      <c r="G345" s="54"/>
      <c r="H345" s="30">
        <v>0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30">
        <v>0</v>
      </c>
      <c r="V345" s="30">
        <v>0</v>
      </c>
      <c r="W345" s="30">
        <v>0</v>
      </c>
      <c r="X345" s="30">
        <v>0</v>
      </c>
      <c r="Y345" s="30">
        <v>0</v>
      </c>
      <c r="Z345" s="30">
        <v>0</v>
      </c>
      <c r="AA345" s="30">
        <v>0</v>
      </c>
      <c r="AB345" s="30">
        <v>0</v>
      </c>
      <c r="AC345" s="30">
        <v>0</v>
      </c>
      <c r="AD345" s="30">
        <v>0</v>
      </c>
      <c r="AE345" s="30">
        <v>0</v>
      </c>
      <c r="AF345" s="30">
        <v>0</v>
      </c>
      <c r="AG345" s="30">
        <v>0</v>
      </c>
      <c r="AH345" s="30">
        <v>0</v>
      </c>
      <c r="AI345" s="30">
        <v>0</v>
      </c>
      <c r="AJ345" s="30">
        <v>0</v>
      </c>
      <c r="AK345" s="30">
        <v>0</v>
      </c>
      <c r="AL345" s="30">
        <v>0</v>
      </c>
      <c r="AM345" s="55">
        <f t="shared" si="46"/>
        <v>0</v>
      </c>
      <c r="AN345" s="55">
        <f t="shared" si="47"/>
        <v>0</v>
      </c>
      <c r="AO345" s="72"/>
      <c r="AP345" s="74" t="str">
        <f t="shared" si="48"/>
        <v/>
      </c>
      <c r="AQ345" s="74" t="str">
        <f t="shared" si="49"/>
        <v/>
      </c>
    </row>
    <row r="346" spans="1:43" ht="13.8" thickBot="1" x14ac:dyDescent="0.3">
      <c r="A346" s="68">
        <v>20</v>
      </c>
      <c r="B346" s="67" t="s">
        <v>205</v>
      </c>
      <c r="C346" s="69" t="s">
        <v>979</v>
      </c>
      <c r="D346" s="66" t="s">
        <v>201</v>
      </c>
      <c r="E346" s="70" t="s">
        <v>13</v>
      </c>
      <c r="F346" s="54"/>
      <c r="G346" s="54"/>
      <c r="H346" s="30">
        <v>0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0</v>
      </c>
      <c r="P346" s="30">
        <v>0</v>
      </c>
      <c r="Q346" s="30">
        <v>0</v>
      </c>
      <c r="R346" s="30">
        <v>0</v>
      </c>
      <c r="S346" s="30">
        <v>0</v>
      </c>
      <c r="T346" s="30">
        <v>0</v>
      </c>
      <c r="U346" s="30">
        <v>0</v>
      </c>
      <c r="V346" s="30">
        <v>0</v>
      </c>
      <c r="W346" s="30">
        <v>0</v>
      </c>
      <c r="X346" s="30">
        <v>0</v>
      </c>
      <c r="Y346" s="30">
        <v>0</v>
      </c>
      <c r="Z346" s="30">
        <v>0</v>
      </c>
      <c r="AA346" s="30">
        <v>0</v>
      </c>
      <c r="AB346" s="30">
        <v>0</v>
      </c>
      <c r="AC346" s="30">
        <v>0</v>
      </c>
      <c r="AD346" s="30">
        <v>0</v>
      </c>
      <c r="AE346" s="30">
        <v>0</v>
      </c>
      <c r="AF346" s="30">
        <v>0</v>
      </c>
      <c r="AG346" s="30">
        <v>0</v>
      </c>
      <c r="AH346" s="30">
        <v>0</v>
      </c>
      <c r="AI346" s="30">
        <v>0</v>
      </c>
      <c r="AJ346" s="30">
        <v>0</v>
      </c>
      <c r="AK346" s="30">
        <v>0</v>
      </c>
      <c r="AL346" s="30">
        <v>0</v>
      </c>
      <c r="AM346" s="55">
        <f t="shared" si="46"/>
        <v>0</v>
      </c>
      <c r="AN346" s="55">
        <f t="shared" si="47"/>
        <v>0</v>
      </c>
      <c r="AO346" s="72"/>
      <c r="AP346" s="74" t="str">
        <f t="shared" si="48"/>
        <v/>
      </c>
      <c r="AQ346" s="74" t="str">
        <f t="shared" si="49"/>
        <v/>
      </c>
    </row>
    <row r="347" spans="1:43" ht="13.8" thickBot="1" x14ac:dyDescent="0.3">
      <c r="A347" s="68">
        <v>21</v>
      </c>
      <c r="B347" s="67" t="s">
        <v>209</v>
      </c>
      <c r="C347" s="69" t="s">
        <v>979</v>
      </c>
      <c r="D347" s="66" t="s">
        <v>210</v>
      </c>
      <c r="E347" s="70" t="s">
        <v>13</v>
      </c>
      <c r="F347" s="54"/>
      <c r="G347" s="54"/>
      <c r="H347" s="30">
        <v>0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  <c r="R347" s="30">
        <v>0</v>
      </c>
      <c r="S347" s="30">
        <v>0</v>
      </c>
      <c r="T347" s="30">
        <v>0</v>
      </c>
      <c r="U347" s="30">
        <v>0</v>
      </c>
      <c r="V347" s="30">
        <v>0</v>
      </c>
      <c r="W347" s="30">
        <v>0</v>
      </c>
      <c r="X347" s="30">
        <v>0</v>
      </c>
      <c r="Y347" s="30">
        <v>0</v>
      </c>
      <c r="Z347" s="30">
        <v>0</v>
      </c>
      <c r="AA347" s="30">
        <v>0</v>
      </c>
      <c r="AB347" s="30">
        <v>0</v>
      </c>
      <c r="AC347" s="30">
        <v>0</v>
      </c>
      <c r="AD347" s="30">
        <v>0</v>
      </c>
      <c r="AE347" s="30">
        <v>0</v>
      </c>
      <c r="AF347" s="30">
        <v>0</v>
      </c>
      <c r="AG347" s="30">
        <v>0</v>
      </c>
      <c r="AH347" s="30">
        <v>0</v>
      </c>
      <c r="AI347" s="30">
        <v>0</v>
      </c>
      <c r="AJ347" s="30">
        <v>0</v>
      </c>
      <c r="AK347" s="30">
        <v>0</v>
      </c>
      <c r="AL347" s="30">
        <v>0</v>
      </c>
      <c r="AM347" s="55">
        <f t="shared" si="46"/>
        <v>0</v>
      </c>
      <c r="AN347" s="55">
        <f t="shared" si="47"/>
        <v>0</v>
      </c>
      <c r="AO347" s="72"/>
      <c r="AP347" s="74" t="str">
        <f t="shared" si="48"/>
        <v/>
      </c>
      <c r="AQ347" s="74" t="str">
        <f t="shared" si="49"/>
        <v/>
      </c>
    </row>
    <row r="348" spans="1:43" ht="13.8" thickBot="1" x14ac:dyDescent="0.3">
      <c r="A348" s="68">
        <v>22</v>
      </c>
      <c r="B348" s="67" t="s">
        <v>207</v>
      </c>
      <c r="C348" s="69" t="s">
        <v>980</v>
      </c>
      <c r="D348" s="66" t="s">
        <v>201</v>
      </c>
      <c r="E348" s="69" t="s">
        <v>208</v>
      </c>
      <c r="F348" s="54"/>
      <c r="G348" s="54"/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  <c r="R348" s="30">
        <v>0</v>
      </c>
      <c r="S348" s="30">
        <v>0</v>
      </c>
      <c r="T348" s="30">
        <v>0</v>
      </c>
      <c r="U348" s="30">
        <v>0</v>
      </c>
      <c r="V348" s="30">
        <v>0</v>
      </c>
      <c r="W348" s="30">
        <v>0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v>0</v>
      </c>
      <c r="AD348" s="30">
        <v>0</v>
      </c>
      <c r="AE348" s="30">
        <v>0</v>
      </c>
      <c r="AF348" s="30">
        <v>0</v>
      </c>
      <c r="AG348" s="30">
        <v>0</v>
      </c>
      <c r="AH348" s="30">
        <v>0</v>
      </c>
      <c r="AI348" s="30">
        <v>0</v>
      </c>
      <c r="AJ348" s="30">
        <v>0</v>
      </c>
      <c r="AK348" s="30">
        <v>0</v>
      </c>
      <c r="AL348" s="30">
        <v>0</v>
      </c>
      <c r="AM348" s="55">
        <f t="shared" si="46"/>
        <v>0</v>
      </c>
      <c r="AN348" s="55">
        <f t="shared" si="47"/>
        <v>0</v>
      </c>
      <c r="AO348" s="72"/>
      <c r="AP348" s="74" t="str">
        <f t="shared" si="48"/>
        <v/>
      </c>
      <c r="AQ348" s="74" t="str">
        <f t="shared" si="49"/>
        <v/>
      </c>
    </row>
    <row r="349" spans="1:43" ht="13.8" thickBot="1" x14ac:dyDescent="0.3">
      <c r="A349" s="68">
        <v>23</v>
      </c>
      <c r="B349" s="67" t="s">
        <v>982</v>
      </c>
      <c r="C349" s="69" t="s">
        <v>981</v>
      </c>
      <c r="D349" s="66" t="s">
        <v>201</v>
      </c>
      <c r="E349" s="71">
        <v>0.02</v>
      </c>
      <c r="F349" s="54"/>
      <c r="G349" s="54"/>
      <c r="H349" s="30">
        <v>0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0</v>
      </c>
      <c r="P349" s="30">
        <v>0</v>
      </c>
      <c r="Q349" s="30">
        <v>0</v>
      </c>
      <c r="R349" s="30">
        <v>0</v>
      </c>
      <c r="S349" s="30">
        <v>0</v>
      </c>
      <c r="T349" s="30">
        <v>0</v>
      </c>
      <c r="U349" s="30">
        <v>0</v>
      </c>
      <c r="V349" s="30">
        <v>0</v>
      </c>
      <c r="W349" s="30">
        <v>0</v>
      </c>
      <c r="X349" s="30">
        <v>0</v>
      </c>
      <c r="Y349" s="30">
        <v>0</v>
      </c>
      <c r="Z349" s="30">
        <v>0</v>
      </c>
      <c r="AA349" s="30">
        <v>0</v>
      </c>
      <c r="AB349" s="30">
        <v>0</v>
      </c>
      <c r="AC349" s="30">
        <v>0</v>
      </c>
      <c r="AD349" s="30">
        <v>0</v>
      </c>
      <c r="AE349" s="30">
        <v>0</v>
      </c>
      <c r="AF349" s="30">
        <v>0</v>
      </c>
      <c r="AG349" s="30">
        <v>0</v>
      </c>
      <c r="AH349" s="30">
        <v>0</v>
      </c>
      <c r="AI349" s="30">
        <v>0</v>
      </c>
      <c r="AJ349" s="30">
        <v>0</v>
      </c>
      <c r="AK349" s="30">
        <v>0</v>
      </c>
      <c r="AL349" s="30">
        <v>0</v>
      </c>
      <c r="AM349" s="55">
        <f t="shared" si="46"/>
        <v>0</v>
      </c>
      <c r="AN349" s="55">
        <f t="shared" si="47"/>
        <v>0</v>
      </c>
      <c r="AO349" s="72"/>
      <c r="AP349" s="74" t="str">
        <f t="shared" si="48"/>
        <v/>
      </c>
      <c r="AQ349" s="74" t="str">
        <f t="shared" si="49"/>
        <v/>
      </c>
    </row>
    <row r="350" spans="1:43" ht="13.8" thickBot="1" x14ac:dyDescent="0.3">
      <c r="A350" s="68">
        <v>24</v>
      </c>
      <c r="B350" s="67" t="s">
        <v>216</v>
      </c>
      <c r="C350" s="69" t="s">
        <v>983</v>
      </c>
      <c r="D350" s="66" t="s">
        <v>213</v>
      </c>
      <c r="E350" s="70" t="s">
        <v>13</v>
      </c>
      <c r="F350" s="54"/>
      <c r="G350" s="54"/>
      <c r="H350" s="30">
        <v>0</v>
      </c>
      <c r="I350" s="30">
        <v>0</v>
      </c>
      <c r="J350" s="30">
        <v>0</v>
      </c>
      <c r="K350" s="30">
        <v>0</v>
      </c>
      <c r="L350" s="30">
        <v>0</v>
      </c>
      <c r="M350" s="30">
        <v>0</v>
      </c>
      <c r="N350" s="30">
        <v>0</v>
      </c>
      <c r="O350" s="30">
        <v>0</v>
      </c>
      <c r="P350" s="30">
        <v>0</v>
      </c>
      <c r="Q350" s="30">
        <v>0</v>
      </c>
      <c r="R350" s="30">
        <v>0</v>
      </c>
      <c r="S350" s="30">
        <v>0</v>
      </c>
      <c r="T350" s="30">
        <v>0</v>
      </c>
      <c r="U350" s="30">
        <v>0</v>
      </c>
      <c r="V350" s="30">
        <v>0</v>
      </c>
      <c r="W350" s="30">
        <v>0</v>
      </c>
      <c r="X350" s="30">
        <v>0</v>
      </c>
      <c r="Y350" s="30">
        <v>0</v>
      </c>
      <c r="Z350" s="30">
        <v>0</v>
      </c>
      <c r="AA350" s="30">
        <v>0</v>
      </c>
      <c r="AB350" s="30">
        <v>0</v>
      </c>
      <c r="AC350" s="30">
        <v>0</v>
      </c>
      <c r="AD350" s="30">
        <v>0</v>
      </c>
      <c r="AE350" s="30">
        <v>0</v>
      </c>
      <c r="AF350" s="30">
        <v>0</v>
      </c>
      <c r="AG350" s="30">
        <v>0</v>
      </c>
      <c r="AH350" s="30">
        <v>0</v>
      </c>
      <c r="AI350" s="30">
        <v>0</v>
      </c>
      <c r="AJ350" s="30">
        <v>0</v>
      </c>
      <c r="AK350" s="30">
        <v>0</v>
      </c>
      <c r="AL350" s="30">
        <v>0</v>
      </c>
      <c r="AM350" s="55">
        <f t="shared" si="46"/>
        <v>0</v>
      </c>
      <c r="AN350" s="55">
        <f t="shared" si="47"/>
        <v>0</v>
      </c>
      <c r="AO350" s="72"/>
      <c r="AP350" s="74" t="str">
        <f t="shared" si="48"/>
        <v/>
      </c>
      <c r="AQ350" s="74" t="str">
        <f t="shared" si="49"/>
        <v/>
      </c>
    </row>
    <row r="351" spans="1:43" ht="13.8" thickBot="1" x14ac:dyDescent="0.3">
      <c r="A351" s="68">
        <v>25</v>
      </c>
      <c r="B351" s="67" t="s">
        <v>217</v>
      </c>
      <c r="C351" s="69" t="s">
        <v>983</v>
      </c>
      <c r="D351" s="66" t="s">
        <v>198</v>
      </c>
      <c r="E351" s="70" t="s">
        <v>13</v>
      </c>
      <c r="F351" s="54"/>
      <c r="G351" s="54"/>
      <c r="H351" s="30">
        <v>0</v>
      </c>
      <c r="I351" s="30">
        <v>0</v>
      </c>
      <c r="J351" s="30">
        <v>0</v>
      </c>
      <c r="K351" s="30">
        <v>0</v>
      </c>
      <c r="L351" s="30">
        <v>0</v>
      </c>
      <c r="M351" s="30">
        <v>0</v>
      </c>
      <c r="N351" s="30">
        <v>0</v>
      </c>
      <c r="O351" s="30">
        <v>0</v>
      </c>
      <c r="P351" s="30">
        <v>0</v>
      </c>
      <c r="Q351" s="30">
        <v>0</v>
      </c>
      <c r="R351" s="30">
        <v>0</v>
      </c>
      <c r="S351" s="30">
        <v>0</v>
      </c>
      <c r="T351" s="30">
        <v>0</v>
      </c>
      <c r="U351" s="30">
        <v>0</v>
      </c>
      <c r="V351" s="30">
        <v>0</v>
      </c>
      <c r="W351" s="30">
        <v>0</v>
      </c>
      <c r="X351" s="30">
        <v>0</v>
      </c>
      <c r="Y351" s="30">
        <v>0</v>
      </c>
      <c r="Z351" s="30">
        <v>0</v>
      </c>
      <c r="AA351" s="30">
        <v>0</v>
      </c>
      <c r="AB351" s="30">
        <v>0</v>
      </c>
      <c r="AC351" s="30">
        <v>0</v>
      </c>
      <c r="AD351" s="30">
        <v>0</v>
      </c>
      <c r="AE351" s="30">
        <v>0</v>
      </c>
      <c r="AF351" s="30">
        <v>0</v>
      </c>
      <c r="AG351" s="30">
        <v>0</v>
      </c>
      <c r="AH351" s="30">
        <v>0</v>
      </c>
      <c r="AI351" s="30">
        <v>0</v>
      </c>
      <c r="AJ351" s="30">
        <v>0</v>
      </c>
      <c r="AK351" s="30">
        <v>0</v>
      </c>
      <c r="AL351" s="30">
        <v>0</v>
      </c>
      <c r="AM351" s="55">
        <f t="shared" si="46"/>
        <v>0</v>
      </c>
      <c r="AN351" s="55">
        <f t="shared" si="47"/>
        <v>0</v>
      </c>
      <c r="AO351" s="72"/>
      <c r="AP351" s="74" t="str">
        <f t="shared" si="48"/>
        <v/>
      </c>
      <c r="AQ351" s="74" t="str">
        <f t="shared" si="49"/>
        <v/>
      </c>
    </row>
    <row r="352" spans="1:43" ht="13.8" thickBot="1" x14ac:dyDescent="0.3">
      <c r="A352" s="68">
        <v>26</v>
      </c>
      <c r="B352" s="67" t="s">
        <v>225</v>
      </c>
      <c r="C352" s="69" t="s">
        <v>983</v>
      </c>
      <c r="D352" s="66" t="s">
        <v>198</v>
      </c>
      <c r="E352" s="70" t="s">
        <v>13</v>
      </c>
      <c r="F352" s="54"/>
      <c r="G352" s="54"/>
      <c r="H352" s="30">
        <v>0</v>
      </c>
      <c r="I352" s="30">
        <v>0</v>
      </c>
      <c r="J352" s="30">
        <v>0</v>
      </c>
      <c r="K352" s="30">
        <v>0</v>
      </c>
      <c r="L352" s="30">
        <v>0</v>
      </c>
      <c r="M352" s="30">
        <v>0</v>
      </c>
      <c r="N352" s="30">
        <v>0</v>
      </c>
      <c r="O352" s="30">
        <v>0</v>
      </c>
      <c r="P352" s="30">
        <v>0</v>
      </c>
      <c r="Q352" s="30">
        <v>0</v>
      </c>
      <c r="R352" s="30">
        <v>0</v>
      </c>
      <c r="S352" s="30">
        <v>0</v>
      </c>
      <c r="T352" s="30">
        <v>0</v>
      </c>
      <c r="U352" s="30">
        <v>0</v>
      </c>
      <c r="V352" s="30">
        <v>0</v>
      </c>
      <c r="W352" s="30">
        <v>0</v>
      </c>
      <c r="X352" s="30">
        <v>0</v>
      </c>
      <c r="Y352" s="30">
        <v>0</v>
      </c>
      <c r="Z352" s="30">
        <v>0</v>
      </c>
      <c r="AA352" s="30">
        <v>0</v>
      </c>
      <c r="AB352" s="30">
        <v>0</v>
      </c>
      <c r="AC352" s="30">
        <v>0</v>
      </c>
      <c r="AD352" s="30">
        <v>0</v>
      </c>
      <c r="AE352" s="30">
        <v>0</v>
      </c>
      <c r="AF352" s="30">
        <v>0</v>
      </c>
      <c r="AG352" s="30">
        <v>0</v>
      </c>
      <c r="AH352" s="30">
        <v>0</v>
      </c>
      <c r="AI352" s="30">
        <v>0</v>
      </c>
      <c r="AJ352" s="30">
        <v>0</v>
      </c>
      <c r="AK352" s="30">
        <v>0</v>
      </c>
      <c r="AL352" s="30">
        <v>0</v>
      </c>
      <c r="AM352" s="55">
        <f t="shared" si="46"/>
        <v>0</v>
      </c>
      <c r="AN352" s="55">
        <f t="shared" si="47"/>
        <v>0</v>
      </c>
      <c r="AO352" s="72"/>
      <c r="AP352" s="74" t="str">
        <f t="shared" si="48"/>
        <v/>
      </c>
      <c r="AQ352" s="74" t="str">
        <f t="shared" si="49"/>
        <v/>
      </c>
    </row>
    <row r="353" spans="1:43" ht="13.8" thickBot="1" x14ac:dyDescent="0.3">
      <c r="A353" s="68">
        <v>27</v>
      </c>
      <c r="B353" s="67" t="s">
        <v>222</v>
      </c>
      <c r="C353" s="69" t="s">
        <v>984</v>
      </c>
      <c r="D353" s="66" t="s">
        <v>976</v>
      </c>
      <c r="E353" s="70" t="s">
        <v>13</v>
      </c>
      <c r="F353" s="54"/>
      <c r="G353" s="54"/>
      <c r="H353" s="30">
        <v>0</v>
      </c>
      <c r="I353" s="30">
        <v>0</v>
      </c>
      <c r="J353" s="30">
        <v>0</v>
      </c>
      <c r="K353" s="30">
        <v>0</v>
      </c>
      <c r="L353" s="30">
        <v>0</v>
      </c>
      <c r="M353" s="30">
        <v>0</v>
      </c>
      <c r="N353" s="30">
        <v>0</v>
      </c>
      <c r="O353" s="30">
        <v>0</v>
      </c>
      <c r="P353" s="30">
        <v>0</v>
      </c>
      <c r="Q353" s="30">
        <v>0</v>
      </c>
      <c r="R353" s="30">
        <v>0</v>
      </c>
      <c r="S353" s="30">
        <v>0</v>
      </c>
      <c r="T353" s="30">
        <v>0</v>
      </c>
      <c r="U353" s="30">
        <v>0</v>
      </c>
      <c r="V353" s="30">
        <v>0</v>
      </c>
      <c r="W353" s="30">
        <v>0</v>
      </c>
      <c r="X353" s="30">
        <v>0</v>
      </c>
      <c r="Y353" s="30">
        <v>0</v>
      </c>
      <c r="Z353" s="30">
        <v>0</v>
      </c>
      <c r="AA353" s="30">
        <v>0</v>
      </c>
      <c r="AB353" s="30">
        <v>0</v>
      </c>
      <c r="AC353" s="30">
        <v>0</v>
      </c>
      <c r="AD353" s="30">
        <v>0</v>
      </c>
      <c r="AE353" s="30">
        <v>0</v>
      </c>
      <c r="AF353" s="30">
        <v>0</v>
      </c>
      <c r="AG353" s="30">
        <v>0</v>
      </c>
      <c r="AH353" s="30">
        <v>0</v>
      </c>
      <c r="AI353" s="30">
        <v>0</v>
      </c>
      <c r="AJ353" s="30">
        <v>0</v>
      </c>
      <c r="AK353" s="30">
        <v>0</v>
      </c>
      <c r="AL353" s="30">
        <v>0</v>
      </c>
      <c r="AM353" s="55">
        <f t="shared" si="46"/>
        <v>0</v>
      </c>
      <c r="AN353" s="55">
        <f t="shared" si="47"/>
        <v>0</v>
      </c>
      <c r="AO353" s="72"/>
      <c r="AP353" s="74" t="str">
        <f t="shared" si="48"/>
        <v/>
      </c>
      <c r="AQ353" s="74" t="str">
        <f t="shared" si="49"/>
        <v/>
      </c>
    </row>
    <row r="354" spans="1:43" ht="13.8" thickBot="1" x14ac:dyDescent="0.3">
      <c r="A354" s="68">
        <v>28</v>
      </c>
      <c r="B354" s="67" t="s">
        <v>202</v>
      </c>
      <c r="C354" s="69" t="s">
        <v>987</v>
      </c>
      <c r="D354" s="66" t="s">
        <v>976</v>
      </c>
      <c r="E354" s="70" t="s">
        <v>13</v>
      </c>
      <c r="F354" s="54"/>
      <c r="G354" s="54"/>
      <c r="H354" s="30">
        <v>0</v>
      </c>
      <c r="I354" s="30">
        <v>0</v>
      </c>
      <c r="J354" s="30">
        <v>0</v>
      </c>
      <c r="K354" s="30">
        <v>0</v>
      </c>
      <c r="L354" s="30">
        <v>0</v>
      </c>
      <c r="M354" s="30">
        <v>0</v>
      </c>
      <c r="N354" s="30">
        <v>0</v>
      </c>
      <c r="O354" s="30">
        <v>0</v>
      </c>
      <c r="P354" s="30">
        <v>0</v>
      </c>
      <c r="Q354" s="30">
        <v>0</v>
      </c>
      <c r="R354" s="30">
        <v>0</v>
      </c>
      <c r="S354" s="30">
        <v>0</v>
      </c>
      <c r="T354" s="30">
        <v>0</v>
      </c>
      <c r="U354" s="30">
        <v>0</v>
      </c>
      <c r="V354" s="30">
        <v>0</v>
      </c>
      <c r="W354" s="30">
        <v>0</v>
      </c>
      <c r="X354" s="30">
        <v>0</v>
      </c>
      <c r="Y354" s="30">
        <v>0</v>
      </c>
      <c r="Z354" s="30">
        <v>0</v>
      </c>
      <c r="AA354" s="30">
        <v>0</v>
      </c>
      <c r="AB354" s="30">
        <v>0</v>
      </c>
      <c r="AC354" s="30">
        <v>0</v>
      </c>
      <c r="AD354" s="30">
        <v>0</v>
      </c>
      <c r="AE354" s="30">
        <v>0</v>
      </c>
      <c r="AF354" s="30">
        <v>0</v>
      </c>
      <c r="AG354" s="30">
        <v>0</v>
      </c>
      <c r="AH354" s="30">
        <v>0</v>
      </c>
      <c r="AI354" s="30">
        <v>0</v>
      </c>
      <c r="AJ354" s="30">
        <v>0</v>
      </c>
      <c r="AK354" s="30">
        <v>0</v>
      </c>
      <c r="AL354" s="30">
        <v>0</v>
      </c>
      <c r="AM354" s="55">
        <f t="shared" si="46"/>
        <v>0</v>
      </c>
      <c r="AN354" s="55">
        <f t="shared" si="47"/>
        <v>0</v>
      </c>
      <c r="AO354" s="72"/>
      <c r="AP354" s="74" t="str">
        <f t="shared" si="48"/>
        <v/>
      </c>
      <c r="AQ354" s="74" t="str">
        <f t="shared" si="49"/>
        <v/>
      </c>
    </row>
    <row r="355" spans="1:43" ht="13.8" thickBot="1" x14ac:dyDescent="0.3">
      <c r="A355" s="68">
        <v>29</v>
      </c>
      <c r="B355" s="67" t="s">
        <v>214</v>
      </c>
      <c r="C355" s="69" t="s">
        <v>987</v>
      </c>
      <c r="D355" s="66" t="s">
        <v>976</v>
      </c>
      <c r="E355" s="70" t="s">
        <v>13</v>
      </c>
      <c r="F355" s="54"/>
      <c r="G355" s="54"/>
      <c r="H355" s="30">
        <v>0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30">
        <v>0</v>
      </c>
      <c r="P355" s="30">
        <v>0</v>
      </c>
      <c r="Q355" s="30">
        <v>0</v>
      </c>
      <c r="R355" s="30">
        <v>0</v>
      </c>
      <c r="S355" s="30">
        <v>0</v>
      </c>
      <c r="T355" s="30">
        <v>0</v>
      </c>
      <c r="U355" s="30">
        <v>0</v>
      </c>
      <c r="V355" s="30">
        <v>0</v>
      </c>
      <c r="W355" s="30">
        <v>0</v>
      </c>
      <c r="X355" s="30">
        <v>0</v>
      </c>
      <c r="Y355" s="30">
        <v>0</v>
      </c>
      <c r="Z355" s="30">
        <v>0</v>
      </c>
      <c r="AA355" s="30">
        <v>0</v>
      </c>
      <c r="AB355" s="30">
        <v>0</v>
      </c>
      <c r="AC355" s="30">
        <v>0</v>
      </c>
      <c r="AD355" s="30">
        <v>0</v>
      </c>
      <c r="AE355" s="30">
        <v>0</v>
      </c>
      <c r="AF355" s="30">
        <v>0</v>
      </c>
      <c r="AG355" s="30">
        <v>0</v>
      </c>
      <c r="AH355" s="30">
        <v>0</v>
      </c>
      <c r="AI355" s="30">
        <v>0</v>
      </c>
      <c r="AJ355" s="30">
        <v>0</v>
      </c>
      <c r="AK355" s="30">
        <v>0</v>
      </c>
      <c r="AL355" s="30">
        <v>0</v>
      </c>
      <c r="AM355" s="55">
        <f t="shared" si="46"/>
        <v>0</v>
      </c>
      <c r="AN355" s="55">
        <f t="shared" si="47"/>
        <v>0</v>
      </c>
      <c r="AO355" s="72"/>
      <c r="AP355" s="74" t="str">
        <f t="shared" si="48"/>
        <v/>
      </c>
      <c r="AQ355" s="74" t="str">
        <f t="shared" si="49"/>
        <v/>
      </c>
    </row>
    <row r="356" spans="1:43" ht="13.8" thickBot="1" x14ac:dyDescent="0.3">
      <c r="A356" s="68">
        <v>30</v>
      </c>
      <c r="B356" s="67" t="s">
        <v>993</v>
      </c>
      <c r="C356" s="69" t="s">
        <v>988</v>
      </c>
      <c r="D356" s="66" t="s">
        <v>219</v>
      </c>
      <c r="E356" s="66" t="s">
        <v>994</v>
      </c>
      <c r="F356" s="54"/>
      <c r="G356" s="54"/>
      <c r="H356" s="30">
        <v>0</v>
      </c>
      <c r="I356" s="30">
        <v>0</v>
      </c>
      <c r="J356" s="30">
        <v>0</v>
      </c>
      <c r="K356" s="30">
        <v>0</v>
      </c>
      <c r="L356" s="30">
        <v>0</v>
      </c>
      <c r="M356" s="30">
        <v>0</v>
      </c>
      <c r="N356" s="30">
        <v>0</v>
      </c>
      <c r="O356" s="30">
        <v>0</v>
      </c>
      <c r="P356" s="30">
        <v>0</v>
      </c>
      <c r="Q356" s="30">
        <v>0</v>
      </c>
      <c r="R356" s="30">
        <v>0</v>
      </c>
      <c r="S356" s="30">
        <v>0</v>
      </c>
      <c r="T356" s="30">
        <v>0</v>
      </c>
      <c r="U356" s="30">
        <v>0</v>
      </c>
      <c r="V356" s="30">
        <v>0</v>
      </c>
      <c r="W356" s="30">
        <v>0</v>
      </c>
      <c r="X356" s="30">
        <v>0</v>
      </c>
      <c r="Y356" s="30">
        <v>0</v>
      </c>
      <c r="Z356" s="30">
        <v>0</v>
      </c>
      <c r="AA356" s="30">
        <v>0</v>
      </c>
      <c r="AB356" s="30">
        <v>0</v>
      </c>
      <c r="AC356" s="30">
        <v>0</v>
      </c>
      <c r="AD356" s="30">
        <v>0</v>
      </c>
      <c r="AE356" s="30">
        <v>0</v>
      </c>
      <c r="AF356" s="30">
        <v>0</v>
      </c>
      <c r="AG356" s="30">
        <v>0</v>
      </c>
      <c r="AH356" s="30">
        <v>0</v>
      </c>
      <c r="AI356" s="30">
        <v>0</v>
      </c>
      <c r="AJ356" s="30">
        <v>0</v>
      </c>
      <c r="AK356" s="30">
        <v>0</v>
      </c>
      <c r="AL356" s="30">
        <v>0</v>
      </c>
      <c r="AM356" s="55">
        <f t="shared" si="46"/>
        <v>0</v>
      </c>
      <c r="AN356" s="55">
        <f t="shared" si="47"/>
        <v>0</v>
      </c>
      <c r="AO356" s="72"/>
      <c r="AP356" s="74" t="str">
        <f t="shared" si="48"/>
        <v/>
      </c>
      <c r="AQ356" s="74" t="str">
        <f t="shared" si="49"/>
        <v/>
      </c>
    </row>
    <row r="357" spans="1:43" ht="13.8" thickBot="1" x14ac:dyDescent="0.3">
      <c r="A357" s="68">
        <v>31</v>
      </c>
      <c r="B357" s="67" t="s">
        <v>990</v>
      </c>
      <c r="C357" s="69" t="s">
        <v>989</v>
      </c>
      <c r="D357" s="66" t="s">
        <v>219</v>
      </c>
      <c r="E357" s="70" t="s">
        <v>13</v>
      </c>
      <c r="F357" s="54"/>
      <c r="G357" s="54"/>
      <c r="H357" s="30">
        <v>0</v>
      </c>
      <c r="I357" s="30">
        <v>0</v>
      </c>
      <c r="J357" s="30">
        <v>0</v>
      </c>
      <c r="K357" s="30">
        <v>0</v>
      </c>
      <c r="L357" s="30">
        <v>0</v>
      </c>
      <c r="M357" s="30">
        <v>0</v>
      </c>
      <c r="N357" s="30">
        <v>0</v>
      </c>
      <c r="O357" s="30">
        <v>0</v>
      </c>
      <c r="P357" s="30">
        <v>0</v>
      </c>
      <c r="Q357" s="30">
        <v>0</v>
      </c>
      <c r="R357" s="30">
        <v>0</v>
      </c>
      <c r="S357" s="30">
        <v>0</v>
      </c>
      <c r="T357" s="30">
        <v>0</v>
      </c>
      <c r="U357" s="30">
        <v>0</v>
      </c>
      <c r="V357" s="30">
        <v>0</v>
      </c>
      <c r="W357" s="30">
        <v>0</v>
      </c>
      <c r="X357" s="30">
        <v>0</v>
      </c>
      <c r="Y357" s="30">
        <v>0</v>
      </c>
      <c r="Z357" s="30">
        <v>0</v>
      </c>
      <c r="AA357" s="30">
        <v>0</v>
      </c>
      <c r="AB357" s="30">
        <v>0</v>
      </c>
      <c r="AC357" s="30">
        <v>0</v>
      </c>
      <c r="AD357" s="30">
        <v>0</v>
      </c>
      <c r="AE357" s="30">
        <v>0</v>
      </c>
      <c r="AF357" s="30">
        <v>0</v>
      </c>
      <c r="AG357" s="30">
        <v>0</v>
      </c>
      <c r="AH357" s="30">
        <v>0</v>
      </c>
      <c r="AI357" s="30">
        <v>0</v>
      </c>
      <c r="AJ357" s="30">
        <v>0</v>
      </c>
      <c r="AK357" s="30">
        <v>0</v>
      </c>
      <c r="AL357" s="30">
        <v>0</v>
      </c>
      <c r="AM357" s="55">
        <f t="shared" si="46"/>
        <v>0</v>
      </c>
      <c r="AN357" s="55">
        <f t="shared" si="47"/>
        <v>0</v>
      </c>
      <c r="AO357" s="72"/>
      <c r="AP357" s="74" t="str">
        <f t="shared" si="48"/>
        <v/>
      </c>
      <c r="AQ357" s="74" t="str">
        <f t="shared" si="49"/>
        <v/>
      </c>
    </row>
    <row r="358" spans="1:43" ht="13.8" thickBot="1" x14ac:dyDescent="0.3">
      <c r="A358" s="68">
        <v>32</v>
      </c>
      <c r="B358" s="67" t="s">
        <v>196</v>
      </c>
      <c r="C358" s="69" t="s">
        <v>991</v>
      </c>
      <c r="D358" s="66" t="s">
        <v>213</v>
      </c>
      <c r="E358" s="66" t="s">
        <v>197</v>
      </c>
      <c r="F358" s="54"/>
      <c r="G358" s="54"/>
      <c r="H358" s="30">
        <v>0</v>
      </c>
      <c r="I358" s="30">
        <v>0</v>
      </c>
      <c r="J358" s="30">
        <v>0</v>
      </c>
      <c r="K358" s="30">
        <v>0</v>
      </c>
      <c r="L358" s="30">
        <v>0</v>
      </c>
      <c r="M358" s="30">
        <v>0</v>
      </c>
      <c r="N358" s="30">
        <v>0</v>
      </c>
      <c r="O358" s="30">
        <v>0</v>
      </c>
      <c r="P358" s="30">
        <v>0</v>
      </c>
      <c r="Q358" s="30">
        <v>0</v>
      </c>
      <c r="R358" s="30">
        <v>0</v>
      </c>
      <c r="S358" s="30">
        <v>0</v>
      </c>
      <c r="T358" s="30">
        <v>0</v>
      </c>
      <c r="U358" s="30">
        <v>0</v>
      </c>
      <c r="V358" s="30">
        <v>0</v>
      </c>
      <c r="W358" s="30">
        <v>0</v>
      </c>
      <c r="X358" s="30">
        <v>0</v>
      </c>
      <c r="Y358" s="30">
        <v>0</v>
      </c>
      <c r="Z358" s="30">
        <v>0</v>
      </c>
      <c r="AA358" s="30">
        <v>0</v>
      </c>
      <c r="AB358" s="30">
        <v>0</v>
      </c>
      <c r="AC358" s="30">
        <v>0</v>
      </c>
      <c r="AD358" s="30">
        <v>0</v>
      </c>
      <c r="AE358" s="30">
        <v>0</v>
      </c>
      <c r="AF358" s="30">
        <v>0</v>
      </c>
      <c r="AG358" s="30">
        <v>0</v>
      </c>
      <c r="AH358" s="30">
        <v>0</v>
      </c>
      <c r="AI358" s="30">
        <v>0</v>
      </c>
      <c r="AJ358" s="30">
        <v>0</v>
      </c>
      <c r="AK358" s="30">
        <v>0</v>
      </c>
      <c r="AL358" s="30">
        <v>0</v>
      </c>
      <c r="AM358" s="55">
        <f t="shared" si="46"/>
        <v>0</v>
      </c>
      <c r="AN358" s="55">
        <f t="shared" si="47"/>
        <v>0</v>
      </c>
      <c r="AO358" s="72"/>
      <c r="AP358" s="74" t="str">
        <f t="shared" si="48"/>
        <v/>
      </c>
      <c r="AQ358" s="74" t="str">
        <f t="shared" si="49"/>
        <v/>
      </c>
    </row>
    <row r="359" spans="1:43" ht="13.8" thickBot="1" x14ac:dyDescent="0.3">
      <c r="A359" s="68">
        <v>33</v>
      </c>
      <c r="B359" s="67" t="s">
        <v>215</v>
      </c>
      <c r="C359" s="69" t="s">
        <v>992</v>
      </c>
      <c r="D359" s="66" t="s">
        <v>198</v>
      </c>
      <c r="E359" s="66" t="s">
        <v>206</v>
      </c>
      <c r="F359" s="54"/>
      <c r="G359" s="54"/>
      <c r="H359" s="30">
        <v>0</v>
      </c>
      <c r="I359" s="30">
        <v>0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30">
        <v>0</v>
      </c>
      <c r="R359" s="30">
        <v>0</v>
      </c>
      <c r="S359" s="30">
        <v>0</v>
      </c>
      <c r="T359" s="30">
        <v>0</v>
      </c>
      <c r="U359" s="30">
        <v>0</v>
      </c>
      <c r="V359" s="30">
        <v>0</v>
      </c>
      <c r="W359" s="30">
        <v>0</v>
      </c>
      <c r="X359" s="30">
        <v>0</v>
      </c>
      <c r="Y359" s="30">
        <v>0</v>
      </c>
      <c r="Z359" s="30">
        <v>0</v>
      </c>
      <c r="AA359" s="30">
        <v>0</v>
      </c>
      <c r="AB359" s="30">
        <v>0</v>
      </c>
      <c r="AC359" s="30">
        <v>0</v>
      </c>
      <c r="AD359" s="30">
        <v>0</v>
      </c>
      <c r="AE359" s="30">
        <v>0</v>
      </c>
      <c r="AF359" s="30">
        <v>0</v>
      </c>
      <c r="AG359" s="30">
        <v>0</v>
      </c>
      <c r="AH359" s="30">
        <v>0</v>
      </c>
      <c r="AI359" s="30">
        <v>0</v>
      </c>
      <c r="AJ359" s="30">
        <v>0</v>
      </c>
      <c r="AK359" s="30">
        <v>0</v>
      </c>
      <c r="AL359" s="30">
        <v>0</v>
      </c>
      <c r="AM359" s="55">
        <f t="shared" si="46"/>
        <v>0</v>
      </c>
      <c r="AN359" s="55">
        <f t="shared" si="47"/>
        <v>0</v>
      </c>
      <c r="AO359" s="72"/>
      <c r="AP359" s="74" t="str">
        <f t="shared" si="48"/>
        <v/>
      </c>
      <c r="AQ359" s="74" t="str">
        <f t="shared" si="49"/>
        <v/>
      </c>
    </row>
    <row r="360" spans="1:43" ht="13.8" thickBot="1" x14ac:dyDescent="0.3">
      <c r="A360" s="68">
        <v>34</v>
      </c>
      <c r="B360" s="67" t="s">
        <v>226</v>
      </c>
      <c r="C360" s="69" t="s">
        <v>992</v>
      </c>
      <c r="D360" s="66" t="s">
        <v>230</v>
      </c>
      <c r="E360" s="66" t="s">
        <v>227</v>
      </c>
      <c r="F360" s="54"/>
      <c r="G360" s="54"/>
      <c r="H360" s="30">
        <v>0</v>
      </c>
      <c r="I360" s="30">
        <v>0</v>
      </c>
      <c r="J360" s="30">
        <v>0</v>
      </c>
      <c r="K360" s="30">
        <v>0</v>
      </c>
      <c r="L360" s="30">
        <v>0</v>
      </c>
      <c r="M360" s="30">
        <v>0</v>
      </c>
      <c r="N360" s="30">
        <v>0</v>
      </c>
      <c r="O360" s="30">
        <v>0</v>
      </c>
      <c r="P360" s="30">
        <v>0</v>
      </c>
      <c r="Q360" s="30">
        <v>0</v>
      </c>
      <c r="R360" s="30">
        <v>0</v>
      </c>
      <c r="S360" s="30">
        <v>0</v>
      </c>
      <c r="T360" s="30">
        <v>0</v>
      </c>
      <c r="U360" s="30">
        <v>0</v>
      </c>
      <c r="V360" s="30">
        <v>0</v>
      </c>
      <c r="W360" s="30">
        <v>0</v>
      </c>
      <c r="X360" s="30">
        <v>0</v>
      </c>
      <c r="Y360" s="30">
        <v>0</v>
      </c>
      <c r="Z360" s="30">
        <v>0</v>
      </c>
      <c r="AA360" s="30">
        <v>0</v>
      </c>
      <c r="AB360" s="30">
        <v>0</v>
      </c>
      <c r="AC360" s="30">
        <v>0</v>
      </c>
      <c r="AD360" s="30">
        <v>0</v>
      </c>
      <c r="AE360" s="30">
        <v>0</v>
      </c>
      <c r="AF360" s="30">
        <v>0</v>
      </c>
      <c r="AG360" s="30">
        <v>0</v>
      </c>
      <c r="AH360" s="30">
        <v>0</v>
      </c>
      <c r="AI360" s="30">
        <v>0</v>
      </c>
      <c r="AJ360" s="30">
        <v>0</v>
      </c>
      <c r="AK360" s="30">
        <v>0</v>
      </c>
      <c r="AL360" s="30">
        <v>0</v>
      </c>
      <c r="AM360" s="55">
        <f t="shared" si="46"/>
        <v>0</v>
      </c>
      <c r="AN360" s="55">
        <f t="shared" si="47"/>
        <v>0</v>
      </c>
      <c r="AO360" s="72"/>
      <c r="AP360" s="74" t="str">
        <f t="shared" si="48"/>
        <v/>
      </c>
      <c r="AQ360" s="74" t="str">
        <f t="shared" si="49"/>
        <v/>
      </c>
    </row>
    <row r="361" spans="1:43" ht="13.8" thickBot="1" x14ac:dyDescent="0.3">
      <c r="A361" s="68">
        <v>35</v>
      </c>
      <c r="B361" s="67"/>
      <c r="C361" s="69"/>
      <c r="D361" s="66"/>
      <c r="E361" s="66"/>
      <c r="F361" s="54"/>
      <c r="G361" s="54"/>
      <c r="H361" s="30">
        <v>0</v>
      </c>
      <c r="I361" s="30">
        <v>0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O361" s="30">
        <v>0</v>
      </c>
      <c r="P361" s="30">
        <v>0</v>
      </c>
      <c r="Q361" s="30">
        <v>0</v>
      </c>
      <c r="R361" s="30">
        <v>0</v>
      </c>
      <c r="S361" s="30">
        <v>0</v>
      </c>
      <c r="T361" s="30">
        <v>0</v>
      </c>
      <c r="U361" s="30">
        <v>0</v>
      </c>
      <c r="V361" s="30">
        <v>0</v>
      </c>
      <c r="W361" s="30">
        <v>0</v>
      </c>
      <c r="X361" s="30">
        <v>0</v>
      </c>
      <c r="Y361" s="30">
        <v>0</v>
      </c>
      <c r="Z361" s="30">
        <v>0</v>
      </c>
      <c r="AA361" s="30">
        <v>0</v>
      </c>
      <c r="AB361" s="30">
        <v>0</v>
      </c>
      <c r="AC361" s="30">
        <v>0</v>
      </c>
      <c r="AD361" s="30">
        <v>0</v>
      </c>
      <c r="AE361" s="30">
        <v>0</v>
      </c>
      <c r="AF361" s="30">
        <v>0</v>
      </c>
      <c r="AG361" s="30">
        <v>0</v>
      </c>
      <c r="AH361" s="30">
        <v>0</v>
      </c>
      <c r="AI361" s="30">
        <v>0</v>
      </c>
      <c r="AJ361" s="30">
        <v>0</v>
      </c>
      <c r="AK361" s="30">
        <v>0</v>
      </c>
      <c r="AL361" s="30">
        <v>0</v>
      </c>
      <c r="AM361" s="55">
        <f t="shared" si="46"/>
        <v>0</v>
      </c>
      <c r="AN361" s="55">
        <f t="shared" si="47"/>
        <v>0</v>
      </c>
      <c r="AO361" s="72"/>
      <c r="AP361" s="74" t="str">
        <f t="shared" si="48"/>
        <v/>
      </c>
      <c r="AQ361" s="74" t="str">
        <f t="shared" si="49"/>
        <v/>
      </c>
    </row>
    <row r="362" spans="1:43" ht="13.8" thickBot="1" x14ac:dyDescent="0.3">
      <c r="A362" s="68">
        <v>36</v>
      </c>
      <c r="B362" s="67"/>
      <c r="C362" s="69"/>
      <c r="D362" s="66"/>
      <c r="E362" s="66"/>
      <c r="F362" s="54"/>
      <c r="G362" s="54"/>
      <c r="H362" s="30">
        <v>0</v>
      </c>
      <c r="I362" s="30">
        <v>0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0</v>
      </c>
      <c r="P362" s="30">
        <v>0</v>
      </c>
      <c r="Q362" s="30">
        <v>0</v>
      </c>
      <c r="R362" s="30">
        <v>0</v>
      </c>
      <c r="S362" s="30">
        <v>0</v>
      </c>
      <c r="T362" s="30">
        <v>0</v>
      </c>
      <c r="U362" s="30">
        <v>0</v>
      </c>
      <c r="V362" s="30">
        <v>0</v>
      </c>
      <c r="W362" s="30">
        <v>0</v>
      </c>
      <c r="X362" s="30">
        <v>0</v>
      </c>
      <c r="Y362" s="30">
        <v>0</v>
      </c>
      <c r="Z362" s="30">
        <v>0</v>
      </c>
      <c r="AA362" s="30">
        <v>0</v>
      </c>
      <c r="AB362" s="30">
        <v>0</v>
      </c>
      <c r="AC362" s="30">
        <v>0</v>
      </c>
      <c r="AD362" s="30">
        <v>0</v>
      </c>
      <c r="AE362" s="30">
        <v>0</v>
      </c>
      <c r="AF362" s="30">
        <v>0</v>
      </c>
      <c r="AG362" s="30">
        <v>0</v>
      </c>
      <c r="AH362" s="30">
        <v>0</v>
      </c>
      <c r="AI362" s="30">
        <v>0</v>
      </c>
      <c r="AJ362" s="30">
        <v>0</v>
      </c>
      <c r="AK362" s="30">
        <v>0</v>
      </c>
      <c r="AL362" s="30">
        <v>0</v>
      </c>
      <c r="AM362" s="55">
        <f t="shared" si="46"/>
        <v>0</v>
      </c>
      <c r="AN362" s="55">
        <f t="shared" si="47"/>
        <v>0</v>
      </c>
      <c r="AO362" s="72"/>
      <c r="AP362" s="74" t="str">
        <f t="shared" si="48"/>
        <v/>
      </c>
      <c r="AQ362" s="74" t="str">
        <f t="shared" si="49"/>
        <v/>
      </c>
    </row>
    <row r="363" spans="1:43" ht="13.8" thickBot="1" x14ac:dyDescent="0.3">
      <c r="A363" s="68">
        <v>37</v>
      </c>
      <c r="B363" s="67"/>
      <c r="C363" s="69"/>
      <c r="D363" s="66"/>
      <c r="E363" s="66"/>
      <c r="F363" s="54"/>
      <c r="G363" s="54"/>
      <c r="H363" s="30">
        <v>0</v>
      </c>
      <c r="I363" s="30">
        <v>0</v>
      </c>
      <c r="J363" s="30">
        <v>0</v>
      </c>
      <c r="K363" s="30">
        <v>0</v>
      </c>
      <c r="L363" s="30">
        <v>0</v>
      </c>
      <c r="M363" s="30">
        <v>0</v>
      </c>
      <c r="N363" s="30">
        <v>0</v>
      </c>
      <c r="O363" s="30">
        <v>0</v>
      </c>
      <c r="P363" s="30">
        <v>0</v>
      </c>
      <c r="Q363" s="30">
        <v>0</v>
      </c>
      <c r="R363" s="30">
        <v>0</v>
      </c>
      <c r="S363" s="30">
        <v>0</v>
      </c>
      <c r="T363" s="30">
        <v>0</v>
      </c>
      <c r="U363" s="30">
        <v>0</v>
      </c>
      <c r="V363" s="30">
        <v>0</v>
      </c>
      <c r="W363" s="30">
        <v>0</v>
      </c>
      <c r="X363" s="30">
        <v>0</v>
      </c>
      <c r="Y363" s="30">
        <v>0</v>
      </c>
      <c r="Z363" s="30">
        <v>0</v>
      </c>
      <c r="AA363" s="30">
        <v>0</v>
      </c>
      <c r="AB363" s="30">
        <v>0</v>
      </c>
      <c r="AC363" s="30">
        <v>0</v>
      </c>
      <c r="AD363" s="30">
        <v>0</v>
      </c>
      <c r="AE363" s="30">
        <v>0</v>
      </c>
      <c r="AF363" s="30">
        <v>0</v>
      </c>
      <c r="AG363" s="30">
        <v>0</v>
      </c>
      <c r="AH363" s="30">
        <v>0</v>
      </c>
      <c r="AI363" s="30">
        <v>0</v>
      </c>
      <c r="AJ363" s="30">
        <v>0</v>
      </c>
      <c r="AK363" s="30">
        <v>0</v>
      </c>
      <c r="AL363" s="30">
        <v>0</v>
      </c>
      <c r="AM363" s="55">
        <f t="shared" si="46"/>
        <v>0</v>
      </c>
      <c r="AN363" s="55">
        <f t="shared" si="47"/>
        <v>0</v>
      </c>
      <c r="AO363" s="72"/>
      <c r="AP363" s="74" t="str">
        <f t="shared" si="48"/>
        <v/>
      </c>
      <c r="AQ363" s="74" t="str">
        <f t="shared" si="49"/>
        <v/>
      </c>
    </row>
    <row r="364" spans="1:43" ht="13.8" thickBot="1" x14ac:dyDescent="0.3">
      <c r="A364" s="68">
        <v>38</v>
      </c>
      <c r="B364" s="67"/>
      <c r="C364" s="69"/>
      <c r="D364" s="66"/>
      <c r="E364" s="66"/>
      <c r="F364" s="54"/>
      <c r="G364" s="54"/>
      <c r="H364" s="30">
        <v>0</v>
      </c>
      <c r="I364" s="30">
        <v>0</v>
      </c>
      <c r="J364" s="30">
        <v>0</v>
      </c>
      <c r="K364" s="30">
        <v>0</v>
      </c>
      <c r="L364" s="30">
        <v>0</v>
      </c>
      <c r="M364" s="30">
        <v>0</v>
      </c>
      <c r="N364" s="30">
        <v>0</v>
      </c>
      <c r="O364" s="30">
        <v>0</v>
      </c>
      <c r="P364" s="30">
        <v>0</v>
      </c>
      <c r="Q364" s="30">
        <v>0</v>
      </c>
      <c r="R364" s="30">
        <v>0</v>
      </c>
      <c r="S364" s="30">
        <v>0</v>
      </c>
      <c r="T364" s="30">
        <v>0</v>
      </c>
      <c r="U364" s="30">
        <v>0</v>
      </c>
      <c r="V364" s="30">
        <v>0</v>
      </c>
      <c r="W364" s="30">
        <v>0</v>
      </c>
      <c r="X364" s="30">
        <v>0</v>
      </c>
      <c r="Y364" s="30">
        <v>0</v>
      </c>
      <c r="Z364" s="30">
        <v>0</v>
      </c>
      <c r="AA364" s="30">
        <v>0</v>
      </c>
      <c r="AB364" s="30">
        <v>0</v>
      </c>
      <c r="AC364" s="30">
        <v>0</v>
      </c>
      <c r="AD364" s="30">
        <v>0</v>
      </c>
      <c r="AE364" s="30">
        <v>0</v>
      </c>
      <c r="AF364" s="30">
        <v>0</v>
      </c>
      <c r="AG364" s="30">
        <v>0</v>
      </c>
      <c r="AH364" s="30">
        <v>0</v>
      </c>
      <c r="AI364" s="30">
        <v>0</v>
      </c>
      <c r="AJ364" s="30">
        <v>0</v>
      </c>
      <c r="AK364" s="30">
        <v>0</v>
      </c>
      <c r="AL364" s="30">
        <v>0</v>
      </c>
      <c r="AM364" s="55">
        <f t="shared" si="46"/>
        <v>0</v>
      </c>
      <c r="AN364" s="55">
        <f t="shared" si="47"/>
        <v>0</v>
      </c>
      <c r="AO364" s="72"/>
      <c r="AP364" s="74" t="str">
        <f t="shared" si="48"/>
        <v/>
      </c>
      <c r="AQ364" s="74" t="str">
        <f t="shared" si="49"/>
        <v/>
      </c>
    </row>
    <row r="365" spans="1:43" ht="13.8" thickBot="1" x14ac:dyDescent="0.3">
      <c r="A365" s="68">
        <v>39</v>
      </c>
      <c r="B365" s="54"/>
      <c r="C365" s="54"/>
      <c r="D365" s="66"/>
      <c r="E365" s="66"/>
      <c r="F365" s="54"/>
      <c r="G365" s="54"/>
      <c r="H365" s="30">
        <v>0</v>
      </c>
      <c r="I365" s="30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0">
        <v>0</v>
      </c>
      <c r="P365" s="30">
        <v>0</v>
      </c>
      <c r="Q365" s="30">
        <v>0</v>
      </c>
      <c r="R365" s="30">
        <v>0</v>
      </c>
      <c r="S365" s="30">
        <v>0</v>
      </c>
      <c r="T365" s="30">
        <v>0</v>
      </c>
      <c r="U365" s="30">
        <v>0</v>
      </c>
      <c r="V365" s="30">
        <v>0</v>
      </c>
      <c r="W365" s="30">
        <v>0</v>
      </c>
      <c r="X365" s="30">
        <v>0</v>
      </c>
      <c r="Y365" s="30">
        <v>0</v>
      </c>
      <c r="Z365" s="30">
        <v>0</v>
      </c>
      <c r="AA365" s="30">
        <v>0</v>
      </c>
      <c r="AB365" s="30">
        <v>0</v>
      </c>
      <c r="AC365" s="30">
        <v>0</v>
      </c>
      <c r="AD365" s="30">
        <v>0</v>
      </c>
      <c r="AE365" s="30">
        <v>0</v>
      </c>
      <c r="AF365" s="30">
        <v>0</v>
      </c>
      <c r="AG365" s="30">
        <v>0</v>
      </c>
      <c r="AH365" s="30">
        <v>0</v>
      </c>
      <c r="AI365" s="30">
        <v>0</v>
      </c>
      <c r="AJ365" s="30">
        <v>0</v>
      </c>
      <c r="AK365" s="30">
        <v>0</v>
      </c>
      <c r="AL365" s="30">
        <v>0</v>
      </c>
      <c r="AM365" s="55">
        <f t="shared" si="46"/>
        <v>0</v>
      </c>
      <c r="AN365" s="55">
        <f t="shared" si="47"/>
        <v>0</v>
      </c>
      <c r="AO365" s="72"/>
      <c r="AP365" s="74" t="str">
        <f t="shared" si="48"/>
        <v/>
      </c>
      <c r="AQ365" s="74" t="str">
        <f t="shared" si="49"/>
        <v/>
      </c>
    </row>
    <row r="366" spans="1:43" ht="18.600000000000001" customHeight="1" thickBot="1" x14ac:dyDescent="0.3">
      <c r="A366" s="92"/>
      <c r="B366" s="93"/>
      <c r="C366" s="42"/>
      <c r="D366" s="42"/>
      <c r="E366" s="42"/>
      <c r="F366" s="42"/>
      <c r="G366" s="42"/>
      <c r="H366" s="55">
        <f t="shared" ref="H366:AN366" si="50">SUM(H326:H365)</f>
        <v>0</v>
      </c>
      <c r="I366" s="55">
        <f t="shared" si="50"/>
        <v>0</v>
      </c>
      <c r="J366" s="55">
        <f t="shared" si="50"/>
        <v>0</v>
      </c>
      <c r="K366" s="55">
        <f t="shared" si="50"/>
        <v>0</v>
      </c>
      <c r="L366" s="55">
        <f t="shared" si="50"/>
        <v>0</v>
      </c>
      <c r="M366" s="55">
        <f t="shared" si="50"/>
        <v>0</v>
      </c>
      <c r="N366" s="55">
        <f t="shared" si="50"/>
        <v>0</v>
      </c>
      <c r="O366" s="55">
        <f t="shared" si="50"/>
        <v>0</v>
      </c>
      <c r="P366" s="55">
        <f t="shared" si="50"/>
        <v>0</v>
      </c>
      <c r="Q366" s="55">
        <f t="shared" si="50"/>
        <v>0</v>
      </c>
      <c r="R366" s="55">
        <f t="shared" si="50"/>
        <v>0</v>
      </c>
      <c r="S366" s="55">
        <f t="shared" si="50"/>
        <v>0</v>
      </c>
      <c r="T366" s="55">
        <f t="shared" si="50"/>
        <v>0</v>
      </c>
      <c r="U366" s="55">
        <f t="shared" si="50"/>
        <v>0</v>
      </c>
      <c r="V366" s="55">
        <f t="shared" si="50"/>
        <v>0</v>
      </c>
      <c r="W366" s="55">
        <f t="shared" si="50"/>
        <v>0</v>
      </c>
      <c r="X366" s="55">
        <f t="shared" si="50"/>
        <v>0</v>
      </c>
      <c r="Y366" s="55">
        <f t="shared" si="50"/>
        <v>0</v>
      </c>
      <c r="Z366" s="55">
        <f t="shared" si="50"/>
        <v>0</v>
      </c>
      <c r="AA366" s="55">
        <f t="shared" si="50"/>
        <v>0</v>
      </c>
      <c r="AB366" s="55">
        <f t="shared" si="50"/>
        <v>0</v>
      </c>
      <c r="AC366" s="55">
        <f t="shared" si="50"/>
        <v>0</v>
      </c>
      <c r="AD366" s="55">
        <f t="shared" si="50"/>
        <v>0</v>
      </c>
      <c r="AE366" s="55">
        <f t="shared" si="50"/>
        <v>0</v>
      </c>
      <c r="AF366" s="55">
        <f t="shared" si="50"/>
        <v>0</v>
      </c>
      <c r="AG366" s="55">
        <f t="shared" si="50"/>
        <v>0</v>
      </c>
      <c r="AH366" s="55">
        <f t="shared" si="50"/>
        <v>0</v>
      </c>
      <c r="AI366" s="55">
        <f t="shared" si="50"/>
        <v>0</v>
      </c>
      <c r="AJ366" s="55">
        <f t="shared" si="50"/>
        <v>0</v>
      </c>
      <c r="AK366" s="55">
        <f t="shared" si="50"/>
        <v>0</v>
      </c>
      <c r="AL366" s="55">
        <f t="shared" si="50"/>
        <v>0</v>
      </c>
      <c r="AM366" s="30">
        <f t="shared" si="50"/>
        <v>0</v>
      </c>
      <c r="AN366" s="30">
        <f t="shared" si="50"/>
        <v>0</v>
      </c>
    </row>
    <row r="368" spans="1:43" ht="16.8" customHeight="1" x14ac:dyDescent="0.25">
      <c r="A368" s="92" t="s">
        <v>174</v>
      </c>
      <c r="B368" s="93"/>
      <c r="C368" s="42"/>
      <c r="D368" s="42"/>
      <c r="E368" s="42"/>
      <c r="F368" s="42"/>
      <c r="G368" s="42"/>
      <c r="H368" s="111">
        <v>45901</v>
      </c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  <c r="AA368" s="112"/>
      <c r="AB368" s="112"/>
      <c r="AC368" s="112"/>
      <c r="AD368" s="112"/>
      <c r="AE368" s="112"/>
      <c r="AF368" s="112"/>
      <c r="AG368" s="112"/>
      <c r="AH368" s="112"/>
      <c r="AI368" s="112"/>
      <c r="AJ368" s="112"/>
      <c r="AK368" s="112"/>
      <c r="AL368" s="112"/>
      <c r="AM368" s="140" t="s">
        <v>954</v>
      </c>
      <c r="AN368" s="146" t="s">
        <v>953</v>
      </c>
      <c r="AO368" s="148" t="s">
        <v>955</v>
      </c>
      <c r="AP368" s="144" t="s">
        <v>958</v>
      </c>
      <c r="AQ368" s="144"/>
    </row>
    <row r="369" spans="1:43" ht="36" customHeight="1" thickBot="1" x14ac:dyDescent="0.3">
      <c r="A369" s="138" t="s">
        <v>948</v>
      </c>
      <c r="B369" s="138" t="s">
        <v>947</v>
      </c>
      <c r="C369" s="138" t="s">
        <v>959</v>
      </c>
      <c r="D369" s="138" t="s">
        <v>949</v>
      </c>
      <c r="E369" s="138"/>
      <c r="F369" s="154" t="s">
        <v>192</v>
      </c>
      <c r="G369" s="142" t="s">
        <v>193</v>
      </c>
      <c r="H369" s="45">
        <v>1</v>
      </c>
      <c r="I369" s="45">
        <v>2</v>
      </c>
      <c r="J369" s="45">
        <v>3</v>
      </c>
      <c r="K369" s="45">
        <v>4</v>
      </c>
      <c r="L369" s="45">
        <v>5</v>
      </c>
      <c r="M369" s="45">
        <v>6</v>
      </c>
      <c r="N369" s="45">
        <v>7</v>
      </c>
      <c r="O369" s="45">
        <v>8</v>
      </c>
      <c r="P369" s="45">
        <v>9</v>
      </c>
      <c r="Q369" s="45">
        <v>10</v>
      </c>
      <c r="R369" s="45">
        <v>11</v>
      </c>
      <c r="S369" s="45">
        <v>12</v>
      </c>
      <c r="T369" s="45">
        <v>13</v>
      </c>
      <c r="U369" s="45">
        <v>14</v>
      </c>
      <c r="V369" s="45">
        <v>15</v>
      </c>
      <c r="W369" s="45">
        <v>16</v>
      </c>
      <c r="X369" s="45">
        <v>17</v>
      </c>
      <c r="Y369" s="45">
        <v>18</v>
      </c>
      <c r="Z369" s="45">
        <v>19</v>
      </c>
      <c r="AA369" s="45">
        <v>20</v>
      </c>
      <c r="AB369" s="45">
        <v>21</v>
      </c>
      <c r="AC369" s="45">
        <v>22</v>
      </c>
      <c r="AD369" s="45">
        <v>23</v>
      </c>
      <c r="AE369" s="45">
        <v>24</v>
      </c>
      <c r="AF369" s="45">
        <v>25</v>
      </c>
      <c r="AG369" s="45">
        <v>26</v>
      </c>
      <c r="AH369" s="45">
        <v>27</v>
      </c>
      <c r="AI369" s="45">
        <v>28</v>
      </c>
      <c r="AJ369" s="45">
        <v>29</v>
      </c>
      <c r="AK369" s="45">
        <v>30</v>
      </c>
      <c r="AL369" s="45"/>
      <c r="AM369" s="140"/>
      <c r="AN369" s="146"/>
      <c r="AO369" s="148"/>
      <c r="AP369" s="150" t="s">
        <v>956</v>
      </c>
      <c r="AQ369" s="152" t="s">
        <v>957</v>
      </c>
    </row>
    <row r="370" spans="1:43" ht="13.8" thickBot="1" x14ac:dyDescent="0.3">
      <c r="A370" s="139"/>
      <c r="B370" s="139"/>
      <c r="C370" s="145"/>
      <c r="D370" s="64" t="s">
        <v>950</v>
      </c>
      <c r="E370" s="64" t="s">
        <v>951</v>
      </c>
      <c r="F370" s="155"/>
      <c r="G370" s="143"/>
      <c r="H370" s="28" t="s">
        <v>179</v>
      </c>
      <c r="I370" s="28" t="s">
        <v>24</v>
      </c>
      <c r="J370" s="28" t="s">
        <v>24</v>
      </c>
      <c r="K370" s="28" t="s">
        <v>180</v>
      </c>
      <c r="L370" s="28" t="s">
        <v>181</v>
      </c>
      <c r="M370" s="28" t="s">
        <v>182</v>
      </c>
      <c r="N370" s="28" t="s">
        <v>183</v>
      </c>
      <c r="O370" s="28" t="s">
        <v>179</v>
      </c>
      <c r="P370" s="28" t="s">
        <v>24</v>
      </c>
      <c r="Q370" s="28" t="s">
        <v>24</v>
      </c>
      <c r="R370" s="28" t="s">
        <v>180</v>
      </c>
      <c r="S370" s="28" t="s">
        <v>181</v>
      </c>
      <c r="T370" s="28" t="s">
        <v>182</v>
      </c>
      <c r="U370" s="28" t="s">
        <v>183</v>
      </c>
      <c r="V370" s="28" t="s">
        <v>179</v>
      </c>
      <c r="W370" s="28" t="s">
        <v>24</v>
      </c>
      <c r="X370" s="28" t="s">
        <v>24</v>
      </c>
      <c r="Y370" s="28" t="s">
        <v>180</v>
      </c>
      <c r="Z370" s="28" t="s">
        <v>181</v>
      </c>
      <c r="AA370" s="28" t="s">
        <v>182</v>
      </c>
      <c r="AB370" s="28" t="s">
        <v>183</v>
      </c>
      <c r="AC370" s="28" t="s">
        <v>179</v>
      </c>
      <c r="AD370" s="28" t="s">
        <v>24</v>
      </c>
      <c r="AE370" s="28" t="s">
        <v>24</v>
      </c>
      <c r="AF370" s="28" t="s">
        <v>180</v>
      </c>
      <c r="AG370" s="28" t="s">
        <v>181</v>
      </c>
      <c r="AH370" s="28" t="s">
        <v>182</v>
      </c>
      <c r="AI370" s="28" t="s">
        <v>183</v>
      </c>
      <c r="AJ370" s="28" t="s">
        <v>179</v>
      </c>
      <c r="AK370" s="28" t="s">
        <v>24</v>
      </c>
      <c r="AL370" s="28"/>
      <c r="AM370" s="141"/>
      <c r="AN370" s="147"/>
      <c r="AO370" s="149"/>
      <c r="AP370" s="151"/>
      <c r="AQ370" s="153"/>
    </row>
    <row r="371" spans="1:43" ht="13.8" thickBot="1" x14ac:dyDescent="0.3">
      <c r="A371" s="68">
        <v>1</v>
      </c>
      <c r="B371" s="67" t="s">
        <v>965</v>
      </c>
      <c r="C371" s="66" t="s">
        <v>960</v>
      </c>
      <c r="D371" s="66" t="s">
        <v>213</v>
      </c>
      <c r="E371" s="69" t="s">
        <v>197</v>
      </c>
      <c r="F371" s="54"/>
      <c r="G371" s="54"/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O371" s="30">
        <v>0</v>
      </c>
      <c r="P371" s="30">
        <v>0</v>
      </c>
      <c r="Q371" s="30">
        <v>0</v>
      </c>
      <c r="R371" s="30">
        <v>0</v>
      </c>
      <c r="S371" s="30">
        <v>0</v>
      </c>
      <c r="T371" s="30">
        <v>0</v>
      </c>
      <c r="U371" s="30">
        <v>0</v>
      </c>
      <c r="V371" s="30">
        <v>0</v>
      </c>
      <c r="W371" s="30">
        <v>0</v>
      </c>
      <c r="X371" s="30">
        <v>0</v>
      </c>
      <c r="Y371" s="30">
        <v>0</v>
      </c>
      <c r="Z371" s="30">
        <v>0</v>
      </c>
      <c r="AA371" s="30">
        <v>0</v>
      </c>
      <c r="AB371" s="30">
        <v>0</v>
      </c>
      <c r="AC371" s="30">
        <v>0</v>
      </c>
      <c r="AD371" s="30">
        <v>0</v>
      </c>
      <c r="AE371" s="30">
        <v>0</v>
      </c>
      <c r="AF371" s="30">
        <v>0</v>
      </c>
      <c r="AG371" s="30">
        <v>0</v>
      </c>
      <c r="AH371" s="30">
        <v>0</v>
      </c>
      <c r="AI371" s="30">
        <v>0</v>
      </c>
      <c r="AJ371" s="30">
        <v>0</v>
      </c>
      <c r="AK371" s="30">
        <v>0</v>
      </c>
      <c r="AL371" s="30"/>
      <c r="AM371" s="55">
        <f>SUM(H371:AL371)</f>
        <v>0</v>
      </c>
      <c r="AN371" s="55">
        <f>F371+G371-AM371</f>
        <v>0</v>
      </c>
      <c r="AO371" s="72"/>
      <c r="AP371" s="74" t="str">
        <f>IF(AO371="","",IF($A$2&lt;=AO371,IF((AO371-$A$2)&lt;=90,"ALERTA","A TIEMPO"),"CADUCADO"))</f>
        <v/>
      </c>
      <c r="AQ371" s="74" t="str">
        <f>IF(AO371="","",AO371-$A$2)</f>
        <v/>
      </c>
    </row>
    <row r="372" spans="1:43" ht="13.8" thickBot="1" x14ac:dyDescent="0.3">
      <c r="A372" s="68">
        <v>2</v>
      </c>
      <c r="B372" s="67" t="s">
        <v>965</v>
      </c>
      <c r="C372" s="66" t="s">
        <v>960</v>
      </c>
      <c r="D372" s="66" t="s">
        <v>224</v>
      </c>
      <c r="E372" s="71">
        <v>0.01</v>
      </c>
      <c r="F372" s="54"/>
      <c r="G372" s="54"/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0</v>
      </c>
      <c r="R372" s="30">
        <v>0</v>
      </c>
      <c r="S372" s="30">
        <v>0</v>
      </c>
      <c r="T372" s="30">
        <v>0</v>
      </c>
      <c r="U372" s="30">
        <v>0</v>
      </c>
      <c r="V372" s="30">
        <v>0</v>
      </c>
      <c r="W372" s="30">
        <v>0</v>
      </c>
      <c r="X372" s="30">
        <v>0</v>
      </c>
      <c r="Y372" s="30">
        <v>0</v>
      </c>
      <c r="Z372" s="30">
        <v>0</v>
      </c>
      <c r="AA372" s="30">
        <v>0</v>
      </c>
      <c r="AB372" s="30">
        <v>0</v>
      </c>
      <c r="AC372" s="30">
        <v>0</v>
      </c>
      <c r="AD372" s="30">
        <v>0</v>
      </c>
      <c r="AE372" s="30">
        <v>0</v>
      </c>
      <c r="AF372" s="30">
        <v>0</v>
      </c>
      <c r="AG372" s="30">
        <v>0</v>
      </c>
      <c r="AH372" s="30">
        <v>0</v>
      </c>
      <c r="AI372" s="30">
        <v>0</v>
      </c>
      <c r="AJ372" s="30">
        <v>0</v>
      </c>
      <c r="AK372" s="30">
        <v>0</v>
      </c>
      <c r="AL372" s="30"/>
      <c r="AM372" s="55">
        <f t="shared" ref="AM372:AM410" si="51">SUM(H372:AL372)</f>
        <v>0</v>
      </c>
      <c r="AN372" s="55">
        <f t="shared" ref="AN372:AN410" si="52">F372+G372-AM372</f>
        <v>0</v>
      </c>
      <c r="AO372" s="72"/>
      <c r="AP372" s="74" t="str">
        <f t="shared" ref="AP372:AP410" si="53">IF(AO372="","",IF($A$2&lt;=AO372,IF((AO372-$A$2)&lt;=90,"ALERTA","A TIEMPO"),"CADUCADO"))</f>
        <v/>
      </c>
      <c r="AQ372" s="74" t="str">
        <f t="shared" ref="AQ372:AQ410" si="54">IF(AO372="","",AO372-$A$2)</f>
        <v/>
      </c>
    </row>
    <row r="373" spans="1:43" ht="13.8" thickBot="1" x14ac:dyDescent="0.3">
      <c r="A373" s="68">
        <v>3</v>
      </c>
      <c r="B373" s="67" t="s">
        <v>211</v>
      </c>
      <c r="C373" s="66" t="s">
        <v>960</v>
      </c>
      <c r="D373" s="66" t="s">
        <v>198</v>
      </c>
      <c r="E373" s="69" t="s">
        <v>964</v>
      </c>
      <c r="F373" s="54"/>
      <c r="G373" s="54"/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0</v>
      </c>
      <c r="N373" s="30">
        <v>0</v>
      </c>
      <c r="O373" s="30">
        <v>0</v>
      </c>
      <c r="P373" s="30">
        <v>0</v>
      </c>
      <c r="Q373" s="30">
        <v>0</v>
      </c>
      <c r="R373" s="30">
        <v>0</v>
      </c>
      <c r="S373" s="30">
        <v>0</v>
      </c>
      <c r="T373" s="30">
        <v>0</v>
      </c>
      <c r="U373" s="30">
        <v>0</v>
      </c>
      <c r="V373" s="30">
        <v>0</v>
      </c>
      <c r="W373" s="30">
        <v>0</v>
      </c>
      <c r="X373" s="30">
        <v>0</v>
      </c>
      <c r="Y373" s="30">
        <v>0</v>
      </c>
      <c r="Z373" s="30">
        <v>0</v>
      </c>
      <c r="AA373" s="30">
        <v>0</v>
      </c>
      <c r="AB373" s="30">
        <v>0</v>
      </c>
      <c r="AC373" s="30">
        <v>0</v>
      </c>
      <c r="AD373" s="30">
        <v>0</v>
      </c>
      <c r="AE373" s="30">
        <v>0</v>
      </c>
      <c r="AF373" s="30">
        <v>0</v>
      </c>
      <c r="AG373" s="30">
        <v>0</v>
      </c>
      <c r="AH373" s="30">
        <v>0</v>
      </c>
      <c r="AI373" s="30">
        <v>0</v>
      </c>
      <c r="AJ373" s="30">
        <v>0</v>
      </c>
      <c r="AK373" s="30">
        <v>0</v>
      </c>
      <c r="AL373" s="30"/>
      <c r="AM373" s="55">
        <f t="shared" si="51"/>
        <v>0</v>
      </c>
      <c r="AN373" s="55">
        <f t="shared" si="52"/>
        <v>0</v>
      </c>
      <c r="AO373" s="72"/>
      <c r="AP373" s="74" t="str">
        <f t="shared" si="53"/>
        <v/>
      </c>
      <c r="AQ373" s="74" t="str">
        <f t="shared" si="54"/>
        <v/>
      </c>
    </row>
    <row r="374" spans="1:43" ht="13.8" thickBot="1" x14ac:dyDescent="0.3">
      <c r="A374" s="68">
        <v>4</v>
      </c>
      <c r="B374" s="67" t="s">
        <v>985</v>
      </c>
      <c r="C374" s="66" t="s">
        <v>960</v>
      </c>
      <c r="D374" s="66" t="s">
        <v>198</v>
      </c>
      <c r="E374" s="70" t="s">
        <v>986</v>
      </c>
      <c r="F374" s="54"/>
      <c r="G374" s="54"/>
      <c r="H374" s="30">
        <v>0</v>
      </c>
      <c r="I374" s="30">
        <v>0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O374" s="30">
        <v>0</v>
      </c>
      <c r="P374" s="30">
        <v>0</v>
      </c>
      <c r="Q374" s="30">
        <v>0</v>
      </c>
      <c r="R374" s="30">
        <v>0</v>
      </c>
      <c r="S374" s="30">
        <v>0</v>
      </c>
      <c r="T374" s="30">
        <v>0</v>
      </c>
      <c r="U374" s="30">
        <v>0</v>
      </c>
      <c r="V374" s="30">
        <v>0</v>
      </c>
      <c r="W374" s="30">
        <v>0</v>
      </c>
      <c r="X374" s="30">
        <v>0</v>
      </c>
      <c r="Y374" s="30">
        <v>0</v>
      </c>
      <c r="Z374" s="30">
        <v>0</v>
      </c>
      <c r="AA374" s="30">
        <v>0</v>
      </c>
      <c r="AB374" s="30">
        <v>0</v>
      </c>
      <c r="AC374" s="30">
        <v>0</v>
      </c>
      <c r="AD374" s="30">
        <v>0</v>
      </c>
      <c r="AE374" s="30">
        <v>0</v>
      </c>
      <c r="AF374" s="30">
        <v>0</v>
      </c>
      <c r="AG374" s="30">
        <v>0</v>
      </c>
      <c r="AH374" s="30">
        <v>0</v>
      </c>
      <c r="AI374" s="30">
        <v>0</v>
      </c>
      <c r="AJ374" s="30">
        <v>0</v>
      </c>
      <c r="AK374" s="30">
        <v>0</v>
      </c>
      <c r="AL374" s="30"/>
      <c r="AM374" s="55">
        <f t="shared" si="51"/>
        <v>0</v>
      </c>
      <c r="AN374" s="55">
        <f t="shared" si="52"/>
        <v>0</v>
      </c>
      <c r="AO374" s="72"/>
      <c r="AP374" s="74" t="str">
        <f t="shared" si="53"/>
        <v/>
      </c>
      <c r="AQ374" s="74" t="str">
        <f t="shared" si="54"/>
        <v/>
      </c>
    </row>
    <row r="375" spans="1:43" ht="13.8" thickBot="1" x14ac:dyDescent="0.3">
      <c r="A375" s="68">
        <v>4</v>
      </c>
      <c r="B375" s="67" t="s">
        <v>963</v>
      </c>
      <c r="C375" s="66" t="s">
        <v>960</v>
      </c>
      <c r="D375" s="66" t="s">
        <v>213</v>
      </c>
      <c r="E375" s="70" t="s">
        <v>13</v>
      </c>
      <c r="F375" s="54"/>
      <c r="G375" s="54"/>
      <c r="H375" s="30">
        <v>0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30">
        <v>0</v>
      </c>
      <c r="P375" s="30">
        <v>0</v>
      </c>
      <c r="Q375" s="30">
        <v>0</v>
      </c>
      <c r="R375" s="30">
        <v>0</v>
      </c>
      <c r="S375" s="30">
        <v>0</v>
      </c>
      <c r="T375" s="30">
        <v>0</v>
      </c>
      <c r="U375" s="30">
        <v>0</v>
      </c>
      <c r="V375" s="30">
        <v>0</v>
      </c>
      <c r="W375" s="30">
        <v>0</v>
      </c>
      <c r="X375" s="30">
        <v>0</v>
      </c>
      <c r="Y375" s="30">
        <v>0</v>
      </c>
      <c r="Z375" s="30">
        <v>0</v>
      </c>
      <c r="AA375" s="30">
        <v>0</v>
      </c>
      <c r="AB375" s="30">
        <v>0</v>
      </c>
      <c r="AC375" s="30">
        <v>0</v>
      </c>
      <c r="AD375" s="30">
        <v>0</v>
      </c>
      <c r="AE375" s="30">
        <v>0</v>
      </c>
      <c r="AF375" s="30">
        <v>0</v>
      </c>
      <c r="AG375" s="30">
        <v>0</v>
      </c>
      <c r="AH375" s="30">
        <v>0</v>
      </c>
      <c r="AI375" s="30">
        <v>0</v>
      </c>
      <c r="AJ375" s="30">
        <v>0</v>
      </c>
      <c r="AK375" s="30">
        <v>0</v>
      </c>
      <c r="AL375" s="30"/>
      <c r="AM375" s="55">
        <f t="shared" si="51"/>
        <v>0</v>
      </c>
      <c r="AN375" s="55">
        <f t="shared" si="52"/>
        <v>0</v>
      </c>
      <c r="AO375" s="72"/>
      <c r="AP375" s="74" t="str">
        <f t="shared" si="53"/>
        <v/>
      </c>
      <c r="AQ375" s="74" t="str">
        <f t="shared" si="54"/>
        <v/>
      </c>
    </row>
    <row r="376" spans="1:43" ht="13.8" thickBot="1" x14ac:dyDescent="0.3">
      <c r="A376" s="68">
        <v>5</v>
      </c>
      <c r="B376" s="67" t="s">
        <v>228</v>
      </c>
      <c r="C376" s="66" t="s">
        <v>960</v>
      </c>
      <c r="D376" s="66" t="s">
        <v>213</v>
      </c>
      <c r="E376" s="69" t="s">
        <v>229</v>
      </c>
      <c r="F376" s="54"/>
      <c r="G376" s="54"/>
      <c r="H376" s="30">
        <v>0</v>
      </c>
      <c r="I376" s="30">
        <v>0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0">
        <v>0</v>
      </c>
      <c r="Q376" s="30">
        <v>0</v>
      </c>
      <c r="R376" s="30">
        <v>0</v>
      </c>
      <c r="S376" s="30">
        <v>0</v>
      </c>
      <c r="T376" s="30">
        <v>0</v>
      </c>
      <c r="U376" s="30">
        <v>0</v>
      </c>
      <c r="V376" s="30">
        <v>0</v>
      </c>
      <c r="W376" s="30">
        <v>0</v>
      </c>
      <c r="X376" s="30">
        <v>0</v>
      </c>
      <c r="Y376" s="30">
        <v>0</v>
      </c>
      <c r="Z376" s="30">
        <v>0</v>
      </c>
      <c r="AA376" s="30">
        <v>0</v>
      </c>
      <c r="AB376" s="30">
        <v>0</v>
      </c>
      <c r="AC376" s="30">
        <v>0</v>
      </c>
      <c r="AD376" s="30">
        <v>0</v>
      </c>
      <c r="AE376" s="30">
        <v>0</v>
      </c>
      <c r="AF376" s="30">
        <v>0</v>
      </c>
      <c r="AG376" s="30">
        <v>0</v>
      </c>
      <c r="AH376" s="30">
        <v>0</v>
      </c>
      <c r="AI376" s="30">
        <v>0</v>
      </c>
      <c r="AJ376" s="30">
        <v>0</v>
      </c>
      <c r="AK376" s="30">
        <v>0</v>
      </c>
      <c r="AL376" s="30"/>
      <c r="AM376" s="55">
        <f t="shared" si="51"/>
        <v>0</v>
      </c>
      <c r="AN376" s="55">
        <f t="shared" si="52"/>
        <v>0</v>
      </c>
      <c r="AO376" s="72"/>
      <c r="AP376" s="74" t="str">
        <f t="shared" si="53"/>
        <v/>
      </c>
      <c r="AQ376" s="74" t="str">
        <f t="shared" si="54"/>
        <v/>
      </c>
    </row>
    <row r="377" spans="1:43" ht="13.8" thickBot="1" x14ac:dyDescent="0.3">
      <c r="A377" s="68">
        <v>6</v>
      </c>
      <c r="B377" s="67" t="s">
        <v>968</v>
      </c>
      <c r="C377" s="66" t="s">
        <v>960</v>
      </c>
      <c r="D377" s="66" t="s">
        <v>198</v>
      </c>
      <c r="E377" s="69" t="s">
        <v>199</v>
      </c>
      <c r="F377" s="54"/>
      <c r="G377" s="54"/>
      <c r="H377" s="30">
        <v>0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0">
        <v>0</v>
      </c>
      <c r="P377" s="30">
        <v>0</v>
      </c>
      <c r="Q377" s="30">
        <v>0</v>
      </c>
      <c r="R377" s="30">
        <v>0</v>
      </c>
      <c r="S377" s="30">
        <v>0</v>
      </c>
      <c r="T377" s="30">
        <v>0</v>
      </c>
      <c r="U377" s="30">
        <v>0</v>
      </c>
      <c r="V377" s="30">
        <v>0</v>
      </c>
      <c r="W377" s="30">
        <v>0</v>
      </c>
      <c r="X377" s="30">
        <v>0</v>
      </c>
      <c r="Y377" s="30">
        <v>0</v>
      </c>
      <c r="Z377" s="30">
        <v>0</v>
      </c>
      <c r="AA377" s="30">
        <v>0</v>
      </c>
      <c r="AB377" s="30">
        <v>0</v>
      </c>
      <c r="AC377" s="30">
        <v>0</v>
      </c>
      <c r="AD377" s="30">
        <v>0</v>
      </c>
      <c r="AE377" s="30">
        <v>0</v>
      </c>
      <c r="AF377" s="30">
        <v>0</v>
      </c>
      <c r="AG377" s="30">
        <v>0</v>
      </c>
      <c r="AH377" s="30">
        <v>0</v>
      </c>
      <c r="AI377" s="30">
        <v>0</v>
      </c>
      <c r="AJ377" s="30">
        <v>0</v>
      </c>
      <c r="AK377" s="30">
        <v>0</v>
      </c>
      <c r="AL377" s="30"/>
      <c r="AM377" s="55">
        <f t="shared" si="51"/>
        <v>0</v>
      </c>
      <c r="AN377" s="55">
        <f t="shared" si="52"/>
        <v>0</v>
      </c>
      <c r="AO377" s="72"/>
      <c r="AP377" s="74" t="str">
        <f t="shared" si="53"/>
        <v/>
      </c>
      <c r="AQ377" s="74" t="str">
        <f t="shared" si="54"/>
        <v/>
      </c>
    </row>
    <row r="378" spans="1:43" ht="13.8" thickBot="1" x14ac:dyDescent="0.3">
      <c r="A378" s="68">
        <v>7</v>
      </c>
      <c r="B378" s="67" t="s">
        <v>220</v>
      </c>
      <c r="C378" s="66" t="s">
        <v>960</v>
      </c>
      <c r="D378" s="66" t="s">
        <v>198</v>
      </c>
      <c r="E378" s="69" t="s">
        <v>195</v>
      </c>
      <c r="F378" s="54"/>
      <c r="G378" s="54"/>
      <c r="H378" s="30">
        <v>0</v>
      </c>
      <c r="I378" s="30">
        <v>0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O378" s="30">
        <v>0</v>
      </c>
      <c r="P378" s="30">
        <v>0</v>
      </c>
      <c r="Q378" s="30">
        <v>0</v>
      </c>
      <c r="R378" s="30">
        <v>0</v>
      </c>
      <c r="S378" s="30">
        <v>0</v>
      </c>
      <c r="T378" s="30">
        <v>0</v>
      </c>
      <c r="U378" s="30">
        <v>0</v>
      </c>
      <c r="V378" s="30">
        <v>0</v>
      </c>
      <c r="W378" s="30">
        <v>0</v>
      </c>
      <c r="X378" s="30">
        <v>0</v>
      </c>
      <c r="Y378" s="30">
        <v>0</v>
      </c>
      <c r="Z378" s="30">
        <v>0</v>
      </c>
      <c r="AA378" s="30">
        <v>0</v>
      </c>
      <c r="AB378" s="30">
        <v>0</v>
      </c>
      <c r="AC378" s="30">
        <v>0</v>
      </c>
      <c r="AD378" s="30">
        <v>0</v>
      </c>
      <c r="AE378" s="30">
        <v>0</v>
      </c>
      <c r="AF378" s="30">
        <v>0</v>
      </c>
      <c r="AG378" s="30">
        <v>0</v>
      </c>
      <c r="AH378" s="30">
        <v>0</v>
      </c>
      <c r="AI378" s="30">
        <v>0</v>
      </c>
      <c r="AJ378" s="30">
        <v>0</v>
      </c>
      <c r="AK378" s="30">
        <v>0</v>
      </c>
      <c r="AL378" s="30"/>
      <c r="AM378" s="55">
        <f t="shared" si="51"/>
        <v>0</v>
      </c>
      <c r="AN378" s="55">
        <f t="shared" si="52"/>
        <v>0</v>
      </c>
      <c r="AO378" s="72"/>
      <c r="AP378" s="74" t="str">
        <f t="shared" si="53"/>
        <v/>
      </c>
      <c r="AQ378" s="74" t="str">
        <f t="shared" si="54"/>
        <v/>
      </c>
    </row>
    <row r="379" spans="1:43" ht="13.8" thickBot="1" x14ac:dyDescent="0.3">
      <c r="A379" s="68">
        <v>8</v>
      </c>
      <c r="B379" s="67" t="s">
        <v>962</v>
      </c>
      <c r="C379" s="66" t="s">
        <v>960</v>
      </c>
      <c r="D379" s="66" t="s">
        <v>198</v>
      </c>
      <c r="E379" s="69" t="s">
        <v>961</v>
      </c>
      <c r="F379" s="54"/>
      <c r="G379" s="54"/>
      <c r="H379" s="30">
        <v>0</v>
      </c>
      <c r="I379" s="30">
        <v>0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0</v>
      </c>
      <c r="R379" s="30">
        <v>0</v>
      </c>
      <c r="S379" s="30">
        <v>0</v>
      </c>
      <c r="T379" s="30">
        <v>0</v>
      </c>
      <c r="U379" s="30">
        <v>0</v>
      </c>
      <c r="V379" s="30">
        <v>0</v>
      </c>
      <c r="W379" s="30">
        <v>0</v>
      </c>
      <c r="X379" s="30">
        <v>0</v>
      </c>
      <c r="Y379" s="30">
        <v>0</v>
      </c>
      <c r="Z379" s="30">
        <v>0</v>
      </c>
      <c r="AA379" s="30">
        <v>0</v>
      </c>
      <c r="AB379" s="30">
        <v>0</v>
      </c>
      <c r="AC379" s="30">
        <v>0</v>
      </c>
      <c r="AD379" s="30">
        <v>0</v>
      </c>
      <c r="AE379" s="30">
        <v>0</v>
      </c>
      <c r="AF379" s="30">
        <v>0</v>
      </c>
      <c r="AG379" s="30">
        <v>0</v>
      </c>
      <c r="AH379" s="30">
        <v>0</v>
      </c>
      <c r="AI379" s="30">
        <v>0</v>
      </c>
      <c r="AJ379" s="30">
        <v>0</v>
      </c>
      <c r="AK379" s="30">
        <v>0</v>
      </c>
      <c r="AL379" s="30"/>
      <c r="AM379" s="55">
        <f t="shared" si="51"/>
        <v>0</v>
      </c>
      <c r="AN379" s="55">
        <f t="shared" si="52"/>
        <v>0</v>
      </c>
      <c r="AO379" s="72"/>
      <c r="AP379" s="74" t="str">
        <f t="shared" si="53"/>
        <v/>
      </c>
      <c r="AQ379" s="74" t="str">
        <f t="shared" si="54"/>
        <v/>
      </c>
    </row>
    <row r="380" spans="1:43" ht="13.8" thickBot="1" x14ac:dyDescent="0.3">
      <c r="A380" s="68">
        <v>9</v>
      </c>
      <c r="B380" s="67" t="s">
        <v>966</v>
      </c>
      <c r="C380" s="66" t="s">
        <v>960</v>
      </c>
      <c r="D380" s="66" t="s">
        <v>201</v>
      </c>
      <c r="E380" s="69" t="s">
        <v>967</v>
      </c>
      <c r="F380" s="54"/>
      <c r="G380" s="54"/>
      <c r="H380" s="30">
        <v>0</v>
      </c>
      <c r="I380" s="30">
        <v>0</v>
      </c>
      <c r="J380" s="30">
        <v>0</v>
      </c>
      <c r="K380" s="30">
        <v>0</v>
      </c>
      <c r="L380" s="30">
        <v>0</v>
      </c>
      <c r="M380" s="30">
        <v>0</v>
      </c>
      <c r="N380" s="30">
        <v>0</v>
      </c>
      <c r="O380" s="30">
        <v>0</v>
      </c>
      <c r="P380" s="30">
        <v>0</v>
      </c>
      <c r="Q380" s="30">
        <v>0</v>
      </c>
      <c r="R380" s="30">
        <v>0</v>
      </c>
      <c r="S380" s="30">
        <v>0</v>
      </c>
      <c r="T380" s="30">
        <v>0</v>
      </c>
      <c r="U380" s="30">
        <v>0</v>
      </c>
      <c r="V380" s="30">
        <v>0</v>
      </c>
      <c r="W380" s="30">
        <v>0</v>
      </c>
      <c r="X380" s="30">
        <v>0</v>
      </c>
      <c r="Y380" s="30">
        <v>0</v>
      </c>
      <c r="Z380" s="30">
        <v>0</v>
      </c>
      <c r="AA380" s="30">
        <v>0</v>
      </c>
      <c r="AB380" s="30">
        <v>0</v>
      </c>
      <c r="AC380" s="30">
        <v>0</v>
      </c>
      <c r="AD380" s="30">
        <v>0</v>
      </c>
      <c r="AE380" s="30">
        <v>0</v>
      </c>
      <c r="AF380" s="30">
        <v>0</v>
      </c>
      <c r="AG380" s="30">
        <v>0</v>
      </c>
      <c r="AH380" s="30">
        <v>0</v>
      </c>
      <c r="AI380" s="30">
        <v>0</v>
      </c>
      <c r="AJ380" s="30">
        <v>0</v>
      </c>
      <c r="AK380" s="30">
        <v>0</v>
      </c>
      <c r="AL380" s="30"/>
      <c r="AM380" s="55">
        <f t="shared" si="51"/>
        <v>0</v>
      </c>
      <c r="AN380" s="55">
        <f t="shared" si="52"/>
        <v>0</v>
      </c>
      <c r="AO380" s="72"/>
      <c r="AP380" s="74" t="str">
        <f t="shared" si="53"/>
        <v/>
      </c>
      <c r="AQ380" s="74" t="str">
        <f t="shared" si="54"/>
        <v/>
      </c>
    </row>
    <row r="381" spans="1:43" ht="13.8" thickBot="1" x14ac:dyDescent="0.3">
      <c r="A381" s="68">
        <v>10</v>
      </c>
      <c r="B381" s="67" t="s">
        <v>194</v>
      </c>
      <c r="C381" s="66" t="s">
        <v>969</v>
      </c>
      <c r="D381" s="66" t="s">
        <v>198</v>
      </c>
      <c r="E381" s="69" t="s">
        <v>195</v>
      </c>
      <c r="F381" s="54"/>
      <c r="G381" s="54"/>
      <c r="H381" s="30">
        <v>0</v>
      </c>
      <c r="I381" s="30">
        <v>0</v>
      </c>
      <c r="J381" s="30">
        <v>0</v>
      </c>
      <c r="K381" s="30">
        <v>0</v>
      </c>
      <c r="L381" s="30">
        <v>0</v>
      </c>
      <c r="M381" s="30">
        <v>0</v>
      </c>
      <c r="N381" s="30">
        <v>0</v>
      </c>
      <c r="O381" s="30">
        <v>0</v>
      </c>
      <c r="P381" s="30">
        <v>0</v>
      </c>
      <c r="Q381" s="30">
        <v>0</v>
      </c>
      <c r="R381" s="30">
        <v>0</v>
      </c>
      <c r="S381" s="30">
        <v>0</v>
      </c>
      <c r="T381" s="30">
        <v>0</v>
      </c>
      <c r="U381" s="30">
        <v>0</v>
      </c>
      <c r="V381" s="30">
        <v>0</v>
      </c>
      <c r="W381" s="30">
        <v>0</v>
      </c>
      <c r="X381" s="30">
        <v>0</v>
      </c>
      <c r="Y381" s="30">
        <v>0</v>
      </c>
      <c r="Z381" s="30">
        <v>0</v>
      </c>
      <c r="AA381" s="30">
        <v>0</v>
      </c>
      <c r="AB381" s="30">
        <v>0</v>
      </c>
      <c r="AC381" s="30">
        <v>0</v>
      </c>
      <c r="AD381" s="30">
        <v>0</v>
      </c>
      <c r="AE381" s="30">
        <v>0</v>
      </c>
      <c r="AF381" s="30">
        <v>0</v>
      </c>
      <c r="AG381" s="30">
        <v>0</v>
      </c>
      <c r="AH381" s="30">
        <v>0</v>
      </c>
      <c r="AI381" s="30">
        <v>0</v>
      </c>
      <c r="AJ381" s="30">
        <v>0</v>
      </c>
      <c r="AK381" s="30">
        <v>0</v>
      </c>
      <c r="AL381" s="30"/>
      <c r="AM381" s="55">
        <f t="shared" si="51"/>
        <v>0</v>
      </c>
      <c r="AN381" s="55">
        <f t="shared" si="52"/>
        <v>0</v>
      </c>
      <c r="AO381" s="72"/>
      <c r="AP381" s="74" t="str">
        <f t="shared" si="53"/>
        <v/>
      </c>
      <c r="AQ381" s="74" t="str">
        <f t="shared" si="54"/>
        <v/>
      </c>
    </row>
    <row r="382" spans="1:43" ht="13.8" thickBot="1" x14ac:dyDescent="0.3">
      <c r="A382" s="68">
        <v>11</v>
      </c>
      <c r="B382" s="67" t="s">
        <v>200</v>
      </c>
      <c r="C382" s="66" t="s">
        <v>969</v>
      </c>
      <c r="D382" s="66" t="s">
        <v>198</v>
      </c>
      <c r="E382" s="69" t="s">
        <v>970</v>
      </c>
      <c r="F382" s="54"/>
      <c r="G382" s="54"/>
      <c r="H382" s="30">
        <v>0</v>
      </c>
      <c r="I382" s="30">
        <v>0</v>
      </c>
      <c r="J382" s="30">
        <v>0</v>
      </c>
      <c r="K382" s="30">
        <v>0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30">
        <v>0</v>
      </c>
      <c r="R382" s="30">
        <v>0</v>
      </c>
      <c r="S382" s="30">
        <v>0</v>
      </c>
      <c r="T382" s="30">
        <v>0</v>
      </c>
      <c r="U382" s="30">
        <v>0</v>
      </c>
      <c r="V382" s="30">
        <v>0</v>
      </c>
      <c r="W382" s="30">
        <v>0</v>
      </c>
      <c r="X382" s="30">
        <v>0</v>
      </c>
      <c r="Y382" s="30">
        <v>0</v>
      </c>
      <c r="Z382" s="30">
        <v>0</v>
      </c>
      <c r="AA382" s="30">
        <v>0</v>
      </c>
      <c r="AB382" s="30">
        <v>0</v>
      </c>
      <c r="AC382" s="30">
        <v>0</v>
      </c>
      <c r="AD382" s="30">
        <v>0</v>
      </c>
      <c r="AE382" s="30">
        <v>0</v>
      </c>
      <c r="AF382" s="30">
        <v>0</v>
      </c>
      <c r="AG382" s="30">
        <v>0</v>
      </c>
      <c r="AH382" s="30">
        <v>0</v>
      </c>
      <c r="AI382" s="30">
        <v>0</v>
      </c>
      <c r="AJ382" s="30">
        <v>0</v>
      </c>
      <c r="AK382" s="30">
        <v>0</v>
      </c>
      <c r="AL382" s="30"/>
      <c r="AM382" s="55">
        <f t="shared" si="51"/>
        <v>0</v>
      </c>
      <c r="AN382" s="55">
        <f t="shared" si="52"/>
        <v>0</v>
      </c>
      <c r="AO382" s="72"/>
      <c r="AP382" s="74" t="str">
        <f t="shared" si="53"/>
        <v/>
      </c>
      <c r="AQ382" s="74" t="str">
        <f t="shared" si="54"/>
        <v/>
      </c>
    </row>
    <row r="383" spans="1:43" ht="13.8" thickBot="1" x14ac:dyDescent="0.3">
      <c r="A383" s="68">
        <v>12</v>
      </c>
      <c r="B383" s="67" t="s">
        <v>972</v>
      </c>
      <c r="C383" s="69" t="s">
        <v>971</v>
      </c>
      <c r="D383" s="66" t="s">
        <v>213</v>
      </c>
      <c r="E383" s="69" t="s">
        <v>203</v>
      </c>
      <c r="F383" s="54"/>
      <c r="G383" s="54"/>
      <c r="H383" s="30">
        <v>0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30">
        <v>0</v>
      </c>
      <c r="O383" s="30">
        <v>0</v>
      </c>
      <c r="P383" s="30">
        <v>0</v>
      </c>
      <c r="Q383" s="30">
        <v>0</v>
      </c>
      <c r="R383" s="30">
        <v>0</v>
      </c>
      <c r="S383" s="30">
        <v>0</v>
      </c>
      <c r="T383" s="30">
        <v>0</v>
      </c>
      <c r="U383" s="30">
        <v>0</v>
      </c>
      <c r="V383" s="30">
        <v>0</v>
      </c>
      <c r="W383" s="30">
        <v>0</v>
      </c>
      <c r="X383" s="30">
        <v>0</v>
      </c>
      <c r="Y383" s="30">
        <v>0</v>
      </c>
      <c r="Z383" s="30">
        <v>0</v>
      </c>
      <c r="AA383" s="30">
        <v>0</v>
      </c>
      <c r="AB383" s="30">
        <v>0</v>
      </c>
      <c r="AC383" s="30">
        <v>0</v>
      </c>
      <c r="AD383" s="30">
        <v>0</v>
      </c>
      <c r="AE383" s="30">
        <v>0</v>
      </c>
      <c r="AF383" s="30">
        <v>0</v>
      </c>
      <c r="AG383" s="30">
        <v>0</v>
      </c>
      <c r="AH383" s="30">
        <v>0</v>
      </c>
      <c r="AI383" s="30">
        <v>0</v>
      </c>
      <c r="AJ383" s="30">
        <v>0</v>
      </c>
      <c r="AK383" s="30">
        <v>0</v>
      </c>
      <c r="AL383" s="30"/>
      <c r="AM383" s="55">
        <f t="shared" si="51"/>
        <v>0</v>
      </c>
      <c r="AN383" s="55">
        <f t="shared" si="52"/>
        <v>0</v>
      </c>
      <c r="AO383" s="72"/>
      <c r="AP383" s="74" t="str">
        <f t="shared" si="53"/>
        <v/>
      </c>
      <c r="AQ383" s="74" t="str">
        <f t="shared" si="54"/>
        <v/>
      </c>
    </row>
    <row r="384" spans="1:43" ht="13.8" thickBot="1" x14ac:dyDescent="0.3">
      <c r="A384" s="68">
        <v>13</v>
      </c>
      <c r="B384" s="67" t="s">
        <v>212</v>
      </c>
      <c r="C384" s="69" t="s">
        <v>971</v>
      </c>
      <c r="D384" s="66" t="s">
        <v>213</v>
      </c>
      <c r="E384" s="69" t="s">
        <v>203</v>
      </c>
      <c r="F384" s="54"/>
      <c r="G384" s="54"/>
      <c r="H384" s="30">
        <v>0</v>
      </c>
      <c r="I384" s="30">
        <v>0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0</v>
      </c>
      <c r="P384" s="30">
        <v>0</v>
      </c>
      <c r="Q384" s="30">
        <v>0</v>
      </c>
      <c r="R384" s="30">
        <v>0</v>
      </c>
      <c r="S384" s="30">
        <v>0</v>
      </c>
      <c r="T384" s="30">
        <v>0</v>
      </c>
      <c r="U384" s="30">
        <v>0</v>
      </c>
      <c r="V384" s="30">
        <v>0</v>
      </c>
      <c r="W384" s="30">
        <v>0</v>
      </c>
      <c r="X384" s="30">
        <v>0</v>
      </c>
      <c r="Y384" s="30">
        <v>0</v>
      </c>
      <c r="Z384" s="30">
        <v>0</v>
      </c>
      <c r="AA384" s="30">
        <v>0</v>
      </c>
      <c r="AB384" s="30">
        <v>0</v>
      </c>
      <c r="AC384" s="30">
        <v>0</v>
      </c>
      <c r="AD384" s="30">
        <v>0</v>
      </c>
      <c r="AE384" s="30">
        <v>0</v>
      </c>
      <c r="AF384" s="30">
        <v>0</v>
      </c>
      <c r="AG384" s="30">
        <v>0</v>
      </c>
      <c r="AH384" s="30">
        <v>0</v>
      </c>
      <c r="AI384" s="30">
        <v>0</v>
      </c>
      <c r="AJ384" s="30">
        <v>0</v>
      </c>
      <c r="AK384" s="30">
        <v>0</v>
      </c>
      <c r="AL384" s="30"/>
      <c r="AM384" s="55">
        <f t="shared" si="51"/>
        <v>0</v>
      </c>
      <c r="AN384" s="55">
        <f t="shared" si="52"/>
        <v>0</v>
      </c>
      <c r="AO384" s="72"/>
      <c r="AP384" s="74" t="str">
        <f t="shared" si="53"/>
        <v/>
      </c>
      <c r="AQ384" s="74" t="str">
        <f t="shared" si="54"/>
        <v/>
      </c>
    </row>
    <row r="385" spans="1:43" ht="13.8" thickBot="1" x14ac:dyDescent="0.3">
      <c r="A385" s="68">
        <v>14</v>
      </c>
      <c r="B385" s="67" t="s">
        <v>204</v>
      </c>
      <c r="C385" s="69" t="s">
        <v>46</v>
      </c>
      <c r="D385" s="66" t="s">
        <v>198</v>
      </c>
      <c r="E385" s="70" t="s">
        <v>13</v>
      </c>
      <c r="F385" s="54"/>
      <c r="G385" s="54"/>
      <c r="H385" s="30">
        <v>0</v>
      </c>
      <c r="I385" s="30">
        <v>0</v>
      </c>
      <c r="J385" s="30">
        <v>0</v>
      </c>
      <c r="K385" s="30">
        <v>0</v>
      </c>
      <c r="L385" s="30">
        <v>0</v>
      </c>
      <c r="M385" s="30">
        <v>0</v>
      </c>
      <c r="N385" s="30">
        <v>0</v>
      </c>
      <c r="O385" s="30">
        <v>0</v>
      </c>
      <c r="P385" s="30">
        <v>0</v>
      </c>
      <c r="Q385" s="30">
        <v>0</v>
      </c>
      <c r="R385" s="30">
        <v>0</v>
      </c>
      <c r="S385" s="30">
        <v>0</v>
      </c>
      <c r="T385" s="30">
        <v>0</v>
      </c>
      <c r="U385" s="30">
        <v>0</v>
      </c>
      <c r="V385" s="30">
        <v>0</v>
      </c>
      <c r="W385" s="30">
        <v>0</v>
      </c>
      <c r="X385" s="30">
        <v>0</v>
      </c>
      <c r="Y385" s="30">
        <v>0</v>
      </c>
      <c r="Z385" s="30">
        <v>0</v>
      </c>
      <c r="AA385" s="30">
        <v>0</v>
      </c>
      <c r="AB385" s="30">
        <v>0</v>
      </c>
      <c r="AC385" s="30">
        <v>0</v>
      </c>
      <c r="AD385" s="30">
        <v>0</v>
      </c>
      <c r="AE385" s="30">
        <v>0</v>
      </c>
      <c r="AF385" s="30">
        <v>0</v>
      </c>
      <c r="AG385" s="30">
        <v>0</v>
      </c>
      <c r="AH385" s="30">
        <v>0</v>
      </c>
      <c r="AI385" s="30">
        <v>0</v>
      </c>
      <c r="AJ385" s="30">
        <v>0</v>
      </c>
      <c r="AK385" s="30">
        <v>0</v>
      </c>
      <c r="AL385" s="30"/>
      <c r="AM385" s="55">
        <f t="shared" si="51"/>
        <v>0</v>
      </c>
      <c r="AN385" s="55">
        <f t="shared" si="52"/>
        <v>0</v>
      </c>
      <c r="AO385" s="72"/>
      <c r="AP385" s="74" t="str">
        <f t="shared" si="53"/>
        <v/>
      </c>
      <c r="AQ385" s="74" t="str">
        <f t="shared" si="54"/>
        <v/>
      </c>
    </row>
    <row r="386" spans="1:43" ht="13.8" thickBot="1" x14ac:dyDescent="0.3">
      <c r="A386" s="68">
        <v>15</v>
      </c>
      <c r="B386" s="67" t="s">
        <v>973</v>
      </c>
      <c r="C386" s="69" t="s">
        <v>46</v>
      </c>
      <c r="D386" s="66" t="s">
        <v>201</v>
      </c>
      <c r="E386" s="69" t="s">
        <v>203</v>
      </c>
      <c r="F386" s="54"/>
      <c r="G386" s="54"/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/>
      <c r="AM386" s="55">
        <f t="shared" si="51"/>
        <v>0</v>
      </c>
      <c r="AN386" s="55">
        <f t="shared" si="52"/>
        <v>0</v>
      </c>
      <c r="AO386" s="72"/>
      <c r="AP386" s="74" t="str">
        <f t="shared" si="53"/>
        <v/>
      </c>
      <c r="AQ386" s="74" t="str">
        <f t="shared" si="54"/>
        <v/>
      </c>
    </row>
    <row r="387" spans="1:43" ht="13.8" thickBot="1" x14ac:dyDescent="0.3">
      <c r="A387" s="68">
        <v>16</v>
      </c>
      <c r="B387" s="67" t="s">
        <v>218</v>
      </c>
      <c r="C387" s="69" t="s">
        <v>46</v>
      </c>
      <c r="D387" s="66" t="s">
        <v>198</v>
      </c>
      <c r="E387" s="69" t="s">
        <v>975</v>
      </c>
      <c r="F387" s="54"/>
      <c r="G387" s="54"/>
      <c r="H387" s="30">
        <v>0</v>
      </c>
      <c r="I387" s="30">
        <v>0</v>
      </c>
      <c r="J387" s="30">
        <v>0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0">
        <v>0</v>
      </c>
      <c r="Q387" s="30">
        <v>0</v>
      </c>
      <c r="R387" s="30">
        <v>0</v>
      </c>
      <c r="S387" s="30">
        <v>0</v>
      </c>
      <c r="T387" s="30">
        <v>0</v>
      </c>
      <c r="U387" s="30">
        <v>0</v>
      </c>
      <c r="V387" s="30">
        <v>0</v>
      </c>
      <c r="W387" s="30">
        <v>0</v>
      </c>
      <c r="X387" s="30">
        <v>0</v>
      </c>
      <c r="Y387" s="30">
        <v>0</v>
      </c>
      <c r="Z387" s="30">
        <v>0</v>
      </c>
      <c r="AA387" s="30">
        <v>0</v>
      </c>
      <c r="AB387" s="30">
        <v>0</v>
      </c>
      <c r="AC387" s="30">
        <v>0</v>
      </c>
      <c r="AD387" s="30">
        <v>0</v>
      </c>
      <c r="AE387" s="30">
        <v>0</v>
      </c>
      <c r="AF387" s="30">
        <v>0</v>
      </c>
      <c r="AG387" s="30">
        <v>0</v>
      </c>
      <c r="AH387" s="30">
        <v>0</v>
      </c>
      <c r="AI387" s="30">
        <v>0</v>
      </c>
      <c r="AJ387" s="30">
        <v>0</v>
      </c>
      <c r="AK387" s="30">
        <v>0</v>
      </c>
      <c r="AL387" s="30"/>
      <c r="AM387" s="55">
        <f t="shared" si="51"/>
        <v>0</v>
      </c>
      <c r="AN387" s="55">
        <f t="shared" si="52"/>
        <v>0</v>
      </c>
      <c r="AO387" s="72"/>
      <c r="AP387" s="74" t="str">
        <f t="shared" si="53"/>
        <v/>
      </c>
      <c r="AQ387" s="74" t="str">
        <f t="shared" si="54"/>
        <v/>
      </c>
    </row>
    <row r="388" spans="1:43" ht="13.8" thickBot="1" x14ac:dyDescent="0.3">
      <c r="A388" s="68">
        <v>17</v>
      </c>
      <c r="B388" s="67" t="s">
        <v>974</v>
      </c>
      <c r="C388" s="69" t="s">
        <v>46</v>
      </c>
      <c r="D388" s="66" t="s">
        <v>210</v>
      </c>
      <c r="E388" s="70" t="s">
        <v>13</v>
      </c>
      <c r="F388" s="54"/>
      <c r="G388" s="54"/>
      <c r="H388" s="30">
        <v>0</v>
      </c>
      <c r="I388" s="30">
        <v>0</v>
      </c>
      <c r="J388" s="30">
        <v>0</v>
      </c>
      <c r="K388" s="30">
        <v>0</v>
      </c>
      <c r="L388" s="30">
        <v>0</v>
      </c>
      <c r="M388" s="30">
        <v>0</v>
      </c>
      <c r="N388" s="30">
        <v>0</v>
      </c>
      <c r="O388" s="30">
        <v>0</v>
      </c>
      <c r="P388" s="30">
        <v>0</v>
      </c>
      <c r="Q388" s="30">
        <v>0</v>
      </c>
      <c r="R388" s="30">
        <v>0</v>
      </c>
      <c r="S388" s="30">
        <v>0</v>
      </c>
      <c r="T388" s="30">
        <v>0</v>
      </c>
      <c r="U388" s="30">
        <v>0</v>
      </c>
      <c r="V388" s="30">
        <v>0</v>
      </c>
      <c r="W388" s="30">
        <v>0</v>
      </c>
      <c r="X388" s="30">
        <v>0</v>
      </c>
      <c r="Y388" s="30">
        <v>0</v>
      </c>
      <c r="Z388" s="30">
        <v>0</v>
      </c>
      <c r="AA388" s="30">
        <v>0</v>
      </c>
      <c r="AB388" s="30">
        <v>0</v>
      </c>
      <c r="AC388" s="30">
        <v>0</v>
      </c>
      <c r="AD388" s="30">
        <v>0</v>
      </c>
      <c r="AE388" s="30">
        <v>0</v>
      </c>
      <c r="AF388" s="30">
        <v>0</v>
      </c>
      <c r="AG388" s="30">
        <v>0</v>
      </c>
      <c r="AH388" s="30">
        <v>0</v>
      </c>
      <c r="AI388" s="30">
        <v>0</v>
      </c>
      <c r="AJ388" s="30">
        <v>0</v>
      </c>
      <c r="AK388" s="30">
        <v>0</v>
      </c>
      <c r="AL388" s="30"/>
      <c r="AM388" s="55">
        <f t="shared" si="51"/>
        <v>0</v>
      </c>
      <c r="AN388" s="55">
        <f t="shared" si="52"/>
        <v>0</v>
      </c>
      <c r="AO388" s="72"/>
      <c r="AP388" s="74" t="str">
        <f t="shared" si="53"/>
        <v/>
      </c>
      <c r="AQ388" s="74" t="str">
        <f t="shared" si="54"/>
        <v/>
      </c>
    </row>
    <row r="389" spans="1:43" ht="13.8" thickBot="1" x14ac:dyDescent="0.3">
      <c r="A389" s="68">
        <v>18</v>
      </c>
      <c r="B389" s="67" t="s">
        <v>221</v>
      </c>
      <c r="C389" s="69" t="s">
        <v>46</v>
      </c>
      <c r="D389" s="66" t="s">
        <v>976</v>
      </c>
      <c r="E389" s="70" t="s">
        <v>13</v>
      </c>
      <c r="F389" s="54"/>
      <c r="G389" s="54"/>
      <c r="H389" s="30">
        <v>0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0">
        <v>0</v>
      </c>
      <c r="P389" s="30">
        <v>0</v>
      </c>
      <c r="Q389" s="30">
        <v>0</v>
      </c>
      <c r="R389" s="30">
        <v>0</v>
      </c>
      <c r="S389" s="30">
        <v>0</v>
      </c>
      <c r="T389" s="30">
        <v>0</v>
      </c>
      <c r="U389" s="30">
        <v>0</v>
      </c>
      <c r="V389" s="30">
        <v>0</v>
      </c>
      <c r="W389" s="30">
        <v>0</v>
      </c>
      <c r="X389" s="30">
        <v>0</v>
      </c>
      <c r="Y389" s="30">
        <v>0</v>
      </c>
      <c r="Z389" s="30">
        <v>0</v>
      </c>
      <c r="AA389" s="30">
        <v>0</v>
      </c>
      <c r="AB389" s="30">
        <v>0</v>
      </c>
      <c r="AC389" s="30">
        <v>0</v>
      </c>
      <c r="AD389" s="30">
        <v>0</v>
      </c>
      <c r="AE389" s="30">
        <v>0</v>
      </c>
      <c r="AF389" s="30">
        <v>0</v>
      </c>
      <c r="AG389" s="30">
        <v>0</v>
      </c>
      <c r="AH389" s="30">
        <v>0</v>
      </c>
      <c r="AI389" s="30">
        <v>0</v>
      </c>
      <c r="AJ389" s="30">
        <v>0</v>
      </c>
      <c r="AK389" s="30">
        <v>0</v>
      </c>
      <c r="AL389" s="30"/>
      <c r="AM389" s="55">
        <f t="shared" si="51"/>
        <v>0</v>
      </c>
      <c r="AN389" s="55">
        <f t="shared" si="52"/>
        <v>0</v>
      </c>
      <c r="AO389" s="72"/>
      <c r="AP389" s="74" t="str">
        <f t="shared" si="53"/>
        <v/>
      </c>
      <c r="AQ389" s="74" t="str">
        <f t="shared" si="54"/>
        <v/>
      </c>
    </row>
    <row r="390" spans="1:43" ht="13.8" thickBot="1" x14ac:dyDescent="0.3">
      <c r="A390" s="68">
        <v>19</v>
      </c>
      <c r="B390" s="67" t="s">
        <v>223</v>
      </c>
      <c r="C390" s="69" t="s">
        <v>977</v>
      </c>
      <c r="D390" s="66" t="s">
        <v>224</v>
      </c>
      <c r="E390" s="69" t="s">
        <v>978</v>
      </c>
      <c r="F390" s="54"/>
      <c r="G390" s="54"/>
      <c r="H390" s="30">
        <v>0</v>
      </c>
      <c r="I390" s="30">
        <v>0</v>
      </c>
      <c r="J390" s="30">
        <v>0</v>
      </c>
      <c r="K390" s="30">
        <v>0</v>
      </c>
      <c r="L390" s="30">
        <v>0</v>
      </c>
      <c r="M390" s="30">
        <v>0</v>
      </c>
      <c r="N390" s="30">
        <v>0</v>
      </c>
      <c r="O390" s="30">
        <v>0</v>
      </c>
      <c r="P390" s="30">
        <v>0</v>
      </c>
      <c r="Q390" s="30">
        <v>0</v>
      </c>
      <c r="R390" s="30">
        <v>0</v>
      </c>
      <c r="S390" s="30">
        <v>0</v>
      </c>
      <c r="T390" s="30">
        <v>0</v>
      </c>
      <c r="U390" s="30">
        <v>0</v>
      </c>
      <c r="V390" s="30">
        <v>0</v>
      </c>
      <c r="W390" s="30">
        <v>0</v>
      </c>
      <c r="X390" s="30">
        <v>0</v>
      </c>
      <c r="Y390" s="30">
        <v>0</v>
      </c>
      <c r="Z390" s="30">
        <v>0</v>
      </c>
      <c r="AA390" s="30">
        <v>0</v>
      </c>
      <c r="AB390" s="30">
        <v>0</v>
      </c>
      <c r="AC390" s="30">
        <v>0</v>
      </c>
      <c r="AD390" s="30">
        <v>0</v>
      </c>
      <c r="AE390" s="30">
        <v>0</v>
      </c>
      <c r="AF390" s="30">
        <v>0</v>
      </c>
      <c r="AG390" s="30">
        <v>0</v>
      </c>
      <c r="AH390" s="30">
        <v>0</v>
      </c>
      <c r="AI390" s="30">
        <v>0</v>
      </c>
      <c r="AJ390" s="30">
        <v>0</v>
      </c>
      <c r="AK390" s="30">
        <v>0</v>
      </c>
      <c r="AL390" s="30"/>
      <c r="AM390" s="55">
        <f t="shared" si="51"/>
        <v>0</v>
      </c>
      <c r="AN390" s="55">
        <f t="shared" si="52"/>
        <v>0</v>
      </c>
      <c r="AO390" s="72"/>
      <c r="AP390" s="74" t="str">
        <f t="shared" si="53"/>
        <v/>
      </c>
      <c r="AQ390" s="74" t="str">
        <f t="shared" si="54"/>
        <v/>
      </c>
    </row>
    <row r="391" spans="1:43" ht="13.8" thickBot="1" x14ac:dyDescent="0.3">
      <c r="A391" s="68">
        <v>20</v>
      </c>
      <c r="B391" s="67" t="s">
        <v>205</v>
      </c>
      <c r="C391" s="69" t="s">
        <v>979</v>
      </c>
      <c r="D391" s="66" t="s">
        <v>201</v>
      </c>
      <c r="E391" s="70" t="s">
        <v>13</v>
      </c>
      <c r="F391" s="54"/>
      <c r="G391" s="54"/>
      <c r="H391" s="30">
        <v>0</v>
      </c>
      <c r="I391" s="30">
        <v>0</v>
      </c>
      <c r="J391" s="30">
        <v>0</v>
      </c>
      <c r="K391" s="30">
        <v>0</v>
      </c>
      <c r="L391" s="30">
        <v>0</v>
      </c>
      <c r="M391" s="30">
        <v>0</v>
      </c>
      <c r="N391" s="30">
        <v>0</v>
      </c>
      <c r="O391" s="30">
        <v>0</v>
      </c>
      <c r="P391" s="30">
        <v>0</v>
      </c>
      <c r="Q391" s="30">
        <v>0</v>
      </c>
      <c r="R391" s="30">
        <v>0</v>
      </c>
      <c r="S391" s="30">
        <v>0</v>
      </c>
      <c r="T391" s="30">
        <v>0</v>
      </c>
      <c r="U391" s="30">
        <v>0</v>
      </c>
      <c r="V391" s="30">
        <v>0</v>
      </c>
      <c r="W391" s="30">
        <v>0</v>
      </c>
      <c r="X391" s="30">
        <v>0</v>
      </c>
      <c r="Y391" s="30">
        <v>0</v>
      </c>
      <c r="Z391" s="30">
        <v>0</v>
      </c>
      <c r="AA391" s="30">
        <v>0</v>
      </c>
      <c r="AB391" s="30">
        <v>0</v>
      </c>
      <c r="AC391" s="30">
        <v>0</v>
      </c>
      <c r="AD391" s="30">
        <v>0</v>
      </c>
      <c r="AE391" s="30">
        <v>0</v>
      </c>
      <c r="AF391" s="30">
        <v>0</v>
      </c>
      <c r="AG391" s="30">
        <v>0</v>
      </c>
      <c r="AH391" s="30">
        <v>0</v>
      </c>
      <c r="AI391" s="30">
        <v>0</v>
      </c>
      <c r="AJ391" s="30">
        <v>0</v>
      </c>
      <c r="AK391" s="30">
        <v>0</v>
      </c>
      <c r="AL391" s="30"/>
      <c r="AM391" s="55">
        <f t="shared" si="51"/>
        <v>0</v>
      </c>
      <c r="AN391" s="55">
        <f t="shared" si="52"/>
        <v>0</v>
      </c>
      <c r="AO391" s="72"/>
      <c r="AP391" s="74" t="str">
        <f t="shared" si="53"/>
        <v/>
      </c>
      <c r="AQ391" s="74" t="str">
        <f t="shared" si="54"/>
        <v/>
      </c>
    </row>
    <row r="392" spans="1:43" ht="13.8" thickBot="1" x14ac:dyDescent="0.3">
      <c r="A392" s="68">
        <v>21</v>
      </c>
      <c r="B392" s="67" t="s">
        <v>209</v>
      </c>
      <c r="C392" s="69" t="s">
        <v>979</v>
      </c>
      <c r="D392" s="66" t="s">
        <v>210</v>
      </c>
      <c r="E392" s="70" t="s">
        <v>13</v>
      </c>
      <c r="F392" s="54"/>
      <c r="G392" s="54"/>
      <c r="H392" s="30">
        <v>0</v>
      </c>
      <c r="I392" s="30">
        <v>0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O392" s="30">
        <v>0</v>
      </c>
      <c r="P392" s="30">
        <v>0</v>
      </c>
      <c r="Q392" s="30">
        <v>0</v>
      </c>
      <c r="R392" s="30">
        <v>0</v>
      </c>
      <c r="S392" s="30">
        <v>0</v>
      </c>
      <c r="T392" s="30">
        <v>0</v>
      </c>
      <c r="U392" s="30">
        <v>0</v>
      </c>
      <c r="V392" s="30">
        <v>0</v>
      </c>
      <c r="W392" s="30">
        <v>0</v>
      </c>
      <c r="X392" s="30">
        <v>0</v>
      </c>
      <c r="Y392" s="30">
        <v>0</v>
      </c>
      <c r="Z392" s="30">
        <v>0</v>
      </c>
      <c r="AA392" s="30">
        <v>0</v>
      </c>
      <c r="AB392" s="30">
        <v>0</v>
      </c>
      <c r="AC392" s="30">
        <v>0</v>
      </c>
      <c r="AD392" s="30">
        <v>0</v>
      </c>
      <c r="AE392" s="30">
        <v>0</v>
      </c>
      <c r="AF392" s="30">
        <v>0</v>
      </c>
      <c r="AG392" s="30">
        <v>0</v>
      </c>
      <c r="AH392" s="30">
        <v>0</v>
      </c>
      <c r="AI392" s="30">
        <v>0</v>
      </c>
      <c r="AJ392" s="30">
        <v>0</v>
      </c>
      <c r="AK392" s="30">
        <v>0</v>
      </c>
      <c r="AL392" s="30"/>
      <c r="AM392" s="55">
        <f t="shared" si="51"/>
        <v>0</v>
      </c>
      <c r="AN392" s="55">
        <f t="shared" si="52"/>
        <v>0</v>
      </c>
      <c r="AO392" s="72"/>
      <c r="AP392" s="74" t="str">
        <f t="shared" si="53"/>
        <v/>
      </c>
      <c r="AQ392" s="74" t="str">
        <f t="shared" si="54"/>
        <v/>
      </c>
    </row>
    <row r="393" spans="1:43" ht="13.8" thickBot="1" x14ac:dyDescent="0.3">
      <c r="A393" s="68">
        <v>22</v>
      </c>
      <c r="B393" s="67" t="s">
        <v>207</v>
      </c>
      <c r="C393" s="69" t="s">
        <v>980</v>
      </c>
      <c r="D393" s="66" t="s">
        <v>201</v>
      </c>
      <c r="E393" s="69" t="s">
        <v>208</v>
      </c>
      <c r="F393" s="54"/>
      <c r="G393" s="54"/>
      <c r="H393" s="30">
        <v>0</v>
      </c>
      <c r="I393" s="30">
        <v>0</v>
      </c>
      <c r="J393" s="30">
        <v>0</v>
      </c>
      <c r="K393" s="30">
        <v>0</v>
      </c>
      <c r="L393" s="30">
        <v>0</v>
      </c>
      <c r="M393" s="30">
        <v>0</v>
      </c>
      <c r="N393" s="30">
        <v>0</v>
      </c>
      <c r="O393" s="30">
        <v>0</v>
      </c>
      <c r="P393" s="30">
        <v>0</v>
      </c>
      <c r="Q393" s="30">
        <v>0</v>
      </c>
      <c r="R393" s="30">
        <v>0</v>
      </c>
      <c r="S393" s="30">
        <v>0</v>
      </c>
      <c r="T393" s="30">
        <v>0</v>
      </c>
      <c r="U393" s="30">
        <v>0</v>
      </c>
      <c r="V393" s="30">
        <v>0</v>
      </c>
      <c r="W393" s="30">
        <v>0</v>
      </c>
      <c r="X393" s="30">
        <v>0</v>
      </c>
      <c r="Y393" s="30">
        <v>0</v>
      </c>
      <c r="Z393" s="30">
        <v>0</v>
      </c>
      <c r="AA393" s="30">
        <v>0</v>
      </c>
      <c r="AB393" s="30">
        <v>0</v>
      </c>
      <c r="AC393" s="30">
        <v>0</v>
      </c>
      <c r="AD393" s="30">
        <v>0</v>
      </c>
      <c r="AE393" s="30">
        <v>0</v>
      </c>
      <c r="AF393" s="30">
        <v>0</v>
      </c>
      <c r="AG393" s="30">
        <v>0</v>
      </c>
      <c r="AH393" s="30">
        <v>0</v>
      </c>
      <c r="AI393" s="30">
        <v>0</v>
      </c>
      <c r="AJ393" s="30">
        <v>0</v>
      </c>
      <c r="AK393" s="30">
        <v>0</v>
      </c>
      <c r="AL393" s="30"/>
      <c r="AM393" s="55">
        <f t="shared" si="51"/>
        <v>0</v>
      </c>
      <c r="AN393" s="55">
        <f t="shared" si="52"/>
        <v>0</v>
      </c>
      <c r="AO393" s="72"/>
      <c r="AP393" s="74" t="str">
        <f t="shared" si="53"/>
        <v/>
      </c>
      <c r="AQ393" s="74" t="str">
        <f t="shared" si="54"/>
        <v/>
      </c>
    </row>
    <row r="394" spans="1:43" ht="13.8" thickBot="1" x14ac:dyDescent="0.3">
      <c r="A394" s="68">
        <v>23</v>
      </c>
      <c r="B394" s="67" t="s">
        <v>982</v>
      </c>
      <c r="C394" s="69" t="s">
        <v>981</v>
      </c>
      <c r="D394" s="66" t="s">
        <v>201</v>
      </c>
      <c r="E394" s="71">
        <v>0.02</v>
      </c>
      <c r="F394" s="54"/>
      <c r="G394" s="54"/>
      <c r="H394" s="30">
        <v>0</v>
      </c>
      <c r="I394" s="30">
        <v>0</v>
      </c>
      <c r="J394" s="30">
        <v>0</v>
      </c>
      <c r="K394" s="30">
        <v>0</v>
      </c>
      <c r="L394" s="30">
        <v>0</v>
      </c>
      <c r="M394" s="30">
        <v>0</v>
      </c>
      <c r="N394" s="30">
        <v>0</v>
      </c>
      <c r="O394" s="30">
        <v>0</v>
      </c>
      <c r="P394" s="30">
        <v>0</v>
      </c>
      <c r="Q394" s="30">
        <v>0</v>
      </c>
      <c r="R394" s="30">
        <v>0</v>
      </c>
      <c r="S394" s="30">
        <v>0</v>
      </c>
      <c r="T394" s="30">
        <v>0</v>
      </c>
      <c r="U394" s="30">
        <v>0</v>
      </c>
      <c r="V394" s="30">
        <v>0</v>
      </c>
      <c r="W394" s="30">
        <v>0</v>
      </c>
      <c r="X394" s="30">
        <v>0</v>
      </c>
      <c r="Y394" s="30">
        <v>0</v>
      </c>
      <c r="Z394" s="30">
        <v>0</v>
      </c>
      <c r="AA394" s="30">
        <v>0</v>
      </c>
      <c r="AB394" s="30">
        <v>0</v>
      </c>
      <c r="AC394" s="30">
        <v>0</v>
      </c>
      <c r="AD394" s="30">
        <v>0</v>
      </c>
      <c r="AE394" s="30">
        <v>0</v>
      </c>
      <c r="AF394" s="30">
        <v>0</v>
      </c>
      <c r="AG394" s="30">
        <v>0</v>
      </c>
      <c r="AH394" s="30">
        <v>0</v>
      </c>
      <c r="AI394" s="30">
        <v>0</v>
      </c>
      <c r="AJ394" s="30">
        <v>0</v>
      </c>
      <c r="AK394" s="30">
        <v>0</v>
      </c>
      <c r="AL394" s="30"/>
      <c r="AM394" s="55">
        <f t="shared" si="51"/>
        <v>0</v>
      </c>
      <c r="AN394" s="55">
        <f t="shared" si="52"/>
        <v>0</v>
      </c>
      <c r="AO394" s="72"/>
      <c r="AP394" s="74" t="str">
        <f t="shared" si="53"/>
        <v/>
      </c>
      <c r="AQ394" s="74" t="str">
        <f t="shared" si="54"/>
        <v/>
      </c>
    </row>
    <row r="395" spans="1:43" ht="13.8" thickBot="1" x14ac:dyDescent="0.3">
      <c r="A395" s="68">
        <v>24</v>
      </c>
      <c r="B395" s="67" t="s">
        <v>216</v>
      </c>
      <c r="C395" s="69" t="s">
        <v>983</v>
      </c>
      <c r="D395" s="66" t="s">
        <v>213</v>
      </c>
      <c r="E395" s="70" t="s">
        <v>13</v>
      </c>
      <c r="F395" s="54"/>
      <c r="G395" s="54"/>
      <c r="H395" s="30">
        <v>0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30">
        <v>0</v>
      </c>
      <c r="P395" s="30">
        <v>0</v>
      </c>
      <c r="Q395" s="30">
        <v>0</v>
      </c>
      <c r="R395" s="30">
        <v>0</v>
      </c>
      <c r="S395" s="30">
        <v>0</v>
      </c>
      <c r="T395" s="30">
        <v>0</v>
      </c>
      <c r="U395" s="30">
        <v>0</v>
      </c>
      <c r="V395" s="30">
        <v>0</v>
      </c>
      <c r="W395" s="30">
        <v>0</v>
      </c>
      <c r="X395" s="30">
        <v>0</v>
      </c>
      <c r="Y395" s="30">
        <v>0</v>
      </c>
      <c r="Z395" s="30">
        <v>0</v>
      </c>
      <c r="AA395" s="30">
        <v>0</v>
      </c>
      <c r="AB395" s="30">
        <v>0</v>
      </c>
      <c r="AC395" s="30">
        <v>0</v>
      </c>
      <c r="AD395" s="30">
        <v>0</v>
      </c>
      <c r="AE395" s="30">
        <v>0</v>
      </c>
      <c r="AF395" s="30">
        <v>0</v>
      </c>
      <c r="AG395" s="30">
        <v>0</v>
      </c>
      <c r="AH395" s="30">
        <v>0</v>
      </c>
      <c r="AI395" s="30">
        <v>0</v>
      </c>
      <c r="AJ395" s="30">
        <v>0</v>
      </c>
      <c r="AK395" s="30">
        <v>0</v>
      </c>
      <c r="AL395" s="30"/>
      <c r="AM395" s="55">
        <f t="shared" si="51"/>
        <v>0</v>
      </c>
      <c r="AN395" s="55">
        <f t="shared" si="52"/>
        <v>0</v>
      </c>
      <c r="AO395" s="72"/>
      <c r="AP395" s="74" t="str">
        <f t="shared" si="53"/>
        <v/>
      </c>
      <c r="AQ395" s="74" t="str">
        <f t="shared" si="54"/>
        <v/>
      </c>
    </row>
    <row r="396" spans="1:43" ht="13.8" thickBot="1" x14ac:dyDescent="0.3">
      <c r="A396" s="68">
        <v>25</v>
      </c>
      <c r="B396" s="67" t="s">
        <v>217</v>
      </c>
      <c r="C396" s="69" t="s">
        <v>983</v>
      </c>
      <c r="D396" s="66" t="s">
        <v>198</v>
      </c>
      <c r="E396" s="70" t="s">
        <v>13</v>
      </c>
      <c r="F396" s="54"/>
      <c r="G396" s="54"/>
      <c r="H396" s="30">
        <v>0</v>
      </c>
      <c r="I396" s="30">
        <v>0</v>
      </c>
      <c r="J396" s="30">
        <v>0</v>
      </c>
      <c r="K396" s="30">
        <v>0</v>
      </c>
      <c r="L396" s="30">
        <v>0</v>
      </c>
      <c r="M396" s="30">
        <v>0</v>
      </c>
      <c r="N396" s="30">
        <v>0</v>
      </c>
      <c r="O396" s="30">
        <v>0</v>
      </c>
      <c r="P396" s="30">
        <v>0</v>
      </c>
      <c r="Q396" s="30">
        <v>0</v>
      </c>
      <c r="R396" s="30">
        <v>0</v>
      </c>
      <c r="S396" s="30">
        <v>0</v>
      </c>
      <c r="T396" s="30">
        <v>0</v>
      </c>
      <c r="U396" s="30">
        <v>0</v>
      </c>
      <c r="V396" s="30">
        <v>0</v>
      </c>
      <c r="W396" s="30">
        <v>0</v>
      </c>
      <c r="X396" s="30">
        <v>0</v>
      </c>
      <c r="Y396" s="30">
        <v>0</v>
      </c>
      <c r="Z396" s="30">
        <v>0</v>
      </c>
      <c r="AA396" s="30">
        <v>0</v>
      </c>
      <c r="AB396" s="30">
        <v>0</v>
      </c>
      <c r="AC396" s="30">
        <v>0</v>
      </c>
      <c r="AD396" s="30">
        <v>0</v>
      </c>
      <c r="AE396" s="30">
        <v>0</v>
      </c>
      <c r="AF396" s="30">
        <v>0</v>
      </c>
      <c r="AG396" s="30">
        <v>0</v>
      </c>
      <c r="AH396" s="30">
        <v>0</v>
      </c>
      <c r="AI396" s="30">
        <v>0</v>
      </c>
      <c r="AJ396" s="30">
        <v>0</v>
      </c>
      <c r="AK396" s="30">
        <v>0</v>
      </c>
      <c r="AL396" s="30"/>
      <c r="AM396" s="55">
        <f t="shared" si="51"/>
        <v>0</v>
      </c>
      <c r="AN396" s="55">
        <f t="shared" si="52"/>
        <v>0</v>
      </c>
      <c r="AO396" s="72"/>
      <c r="AP396" s="74" t="str">
        <f t="shared" si="53"/>
        <v/>
      </c>
      <c r="AQ396" s="74" t="str">
        <f t="shared" si="54"/>
        <v/>
      </c>
    </row>
    <row r="397" spans="1:43" ht="13.8" thickBot="1" x14ac:dyDescent="0.3">
      <c r="A397" s="68">
        <v>26</v>
      </c>
      <c r="B397" s="67" t="s">
        <v>225</v>
      </c>
      <c r="C397" s="69" t="s">
        <v>983</v>
      </c>
      <c r="D397" s="66" t="s">
        <v>198</v>
      </c>
      <c r="E397" s="70" t="s">
        <v>13</v>
      </c>
      <c r="F397" s="54"/>
      <c r="G397" s="54"/>
      <c r="H397" s="30">
        <v>0</v>
      </c>
      <c r="I397" s="30">
        <v>0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O397" s="30">
        <v>0</v>
      </c>
      <c r="P397" s="30">
        <v>0</v>
      </c>
      <c r="Q397" s="30">
        <v>0</v>
      </c>
      <c r="R397" s="30">
        <v>0</v>
      </c>
      <c r="S397" s="30">
        <v>0</v>
      </c>
      <c r="T397" s="30">
        <v>0</v>
      </c>
      <c r="U397" s="30">
        <v>0</v>
      </c>
      <c r="V397" s="30">
        <v>0</v>
      </c>
      <c r="W397" s="30">
        <v>0</v>
      </c>
      <c r="X397" s="30">
        <v>0</v>
      </c>
      <c r="Y397" s="30">
        <v>0</v>
      </c>
      <c r="Z397" s="30">
        <v>0</v>
      </c>
      <c r="AA397" s="30">
        <v>0</v>
      </c>
      <c r="AB397" s="30">
        <v>0</v>
      </c>
      <c r="AC397" s="30">
        <v>0</v>
      </c>
      <c r="AD397" s="30">
        <v>0</v>
      </c>
      <c r="AE397" s="30">
        <v>0</v>
      </c>
      <c r="AF397" s="30">
        <v>0</v>
      </c>
      <c r="AG397" s="30">
        <v>0</v>
      </c>
      <c r="AH397" s="30">
        <v>0</v>
      </c>
      <c r="AI397" s="30">
        <v>0</v>
      </c>
      <c r="AJ397" s="30">
        <v>0</v>
      </c>
      <c r="AK397" s="30">
        <v>0</v>
      </c>
      <c r="AL397" s="30"/>
      <c r="AM397" s="55">
        <f t="shared" si="51"/>
        <v>0</v>
      </c>
      <c r="AN397" s="55">
        <f t="shared" si="52"/>
        <v>0</v>
      </c>
      <c r="AO397" s="72"/>
      <c r="AP397" s="74" t="str">
        <f t="shared" si="53"/>
        <v/>
      </c>
      <c r="AQ397" s="74" t="str">
        <f t="shared" si="54"/>
        <v/>
      </c>
    </row>
    <row r="398" spans="1:43" ht="13.8" thickBot="1" x14ac:dyDescent="0.3">
      <c r="A398" s="68">
        <v>27</v>
      </c>
      <c r="B398" s="67" t="s">
        <v>222</v>
      </c>
      <c r="C398" s="69" t="s">
        <v>984</v>
      </c>
      <c r="D398" s="66" t="s">
        <v>976</v>
      </c>
      <c r="E398" s="70" t="s">
        <v>13</v>
      </c>
      <c r="F398" s="54"/>
      <c r="G398" s="54"/>
      <c r="H398" s="30">
        <v>0</v>
      </c>
      <c r="I398" s="30">
        <v>0</v>
      </c>
      <c r="J398" s="30">
        <v>0</v>
      </c>
      <c r="K398" s="30">
        <v>0</v>
      </c>
      <c r="L398" s="30">
        <v>0</v>
      </c>
      <c r="M398" s="30">
        <v>0</v>
      </c>
      <c r="N398" s="30">
        <v>0</v>
      </c>
      <c r="O398" s="30">
        <v>0</v>
      </c>
      <c r="P398" s="30">
        <v>0</v>
      </c>
      <c r="Q398" s="30">
        <v>0</v>
      </c>
      <c r="R398" s="30">
        <v>0</v>
      </c>
      <c r="S398" s="30">
        <v>0</v>
      </c>
      <c r="T398" s="30">
        <v>0</v>
      </c>
      <c r="U398" s="30">
        <v>0</v>
      </c>
      <c r="V398" s="30">
        <v>0</v>
      </c>
      <c r="W398" s="30">
        <v>0</v>
      </c>
      <c r="X398" s="30">
        <v>0</v>
      </c>
      <c r="Y398" s="30">
        <v>0</v>
      </c>
      <c r="Z398" s="30">
        <v>0</v>
      </c>
      <c r="AA398" s="30">
        <v>0</v>
      </c>
      <c r="AB398" s="30">
        <v>0</v>
      </c>
      <c r="AC398" s="30">
        <v>0</v>
      </c>
      <c r="AD398" s="30">
        <v>0</v>
      </c>
      <c r="AE398" s="30">
        <v>0</v>
      </c>
      <c r="AF398" s="30">
        <v>0</v>
      </c>
      <c r="AG398" s="30">
        <v>0</v>
      </c>
      <c r="AH398" s="30">
        <v>0</v>
      </c>
      <c r="AI398" s="30">
        <v>0</v>
      </c>
      <c r="AJ398" s="30">
        <v>0</v>
      </c>
      <c r="AK398" s="30">
        <v>0</v>
      </c>
      <c r="AL398" s="30"/>
      <c r="AM398" s="55">
        <f t="shared" si="51"/>
        <v>0</v>
      </c>
      <c r="AN398" s="55">
        <f t="shared" si="52"/>
        <v>0</v>
      </c>
      <c r="AO398" s="72"/>
      <c r="AP398" s="74" t="str">
        <f t="shared" si="53"/>
        <v/>
      </c>
      <c r="AQ398" s="74" t="str">
        <f t="shared" si="54"/>
        <v/>
      </c>
    </row>
    <row r="399" spans="1:43" ht="13.8" thickBot="1" x14ac:dyDescent="0.3">
      <c r="A399" s="68">
        <v>28</v>
      </c>
      <c r="B399" s="67" t="s">
        <v>202</v>
      </c>
      <c r="C399" s="69" t="s">
        <v>987</v>
      </c>
      <c r="D399" s="66" t="s">
        <v>976</v>
      </c>
      <c r="E399" s="70" t="s">
        <v>13</v>
      </c>
      <c r="F399" s="54"/>
      <c r="G399" s="54"/>
      <c r="H399" s="30">
        <v>0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0</v>
      </c>
      <c r="O399" s="30">
        <v>0</v>
      </c>
      <c r="P399" s="30">
        <v>0</v>
      </c>
      <c r="Q399" s="30">
        <v>0</v>
      </c>
      <c r="R399" s="30">
        <v>0</v>
      </c>
      <c r="S399" s="30">
        <v>0</v>
      </c>
      <c r="T399" s="30">
        <v>0</v>
      </c>
      <c r="U399" s="30">
        <v>0</v>
      </c>
      <c r="V399" s="30">
        <v>0</v>
      </c>
      <c r="W399" s="30">
        <v>0</v>
      </c>
      <c r="X399" s="30">
        <v>0</v>
      </c>
      <c r="Y399" s="30">
        <v>0</v>
      </c>
      <c r="Z399" s="30">
        <v>0</v>
      </c>
      <c r="AA399" s="30">
        <v>0</v>
      </c>
      <c r="AB399" s="30">
        <v>0</v>
      </c>
      <c r="AC399" s="30">
        <v>0</v>
      </c>
      <c r="AD399" s="30">
        <v>0</v>
      </c>
      <c r="AE399" s="30">
        <v>0</v>
      </c>
      <c r="AF399" s="30">
        <v>0</v>
      </c>
      <c r="AG399" s="30">
        <v>0</v>
      </c>
      <c r="AH399" s="30">
        <v>0</v>
      </c>
      <c r="AI399" s="30">
        <v>0</v>
      </c>
      <c r="AJ399" s="30">
        <v>0</v>
      </c>
      <c r="AK399" s="30">
        <v>0</v>
      </c>
      <c r="AL399" s="30"/>
      <c r="AM399" s="55">
        <f t="shared" si="51"/>
        <v>0</v>
      </c>
      <c r="AN399" s="55">
        <f t="shared" si="52"/>
        <v>0</v>
      </c>
      <c r="AO399" s="72"/>
      <c r="AP399" s="74" t="str">
        <f t="shared" si="53"/>
        <v/>
      </c>
      <c r="AQ399" s="74" t="str">
        <f t="shared" si="54"/>
        <v/>
      </c>
    </row>
    <row r="400" spans="1:43" ht="13.8" thickBot="1" x14ac:dyDescent="0.3">
      <c r="A400" s="68">
        <v>29</v>
      </c>
      <c r="B400" s="67" t="s">
        <v>214</v>
      </c>
      <c r="C400" s="69" t="s">
        <v>987</v>
      </c>
      <c r="D400" s="66" t="s">
        <v>976</v>
      </c>
      <c r="E400" s="70" t="s">
        <v>13</v>
      </c>
      <c r="F400" s="54"/>
      <c r="G400" s="54"/>
      <c r="H400" s="30">
        <v>0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0</v>
      </c>
      <c r="P400" s="30">
        <v>0</v>
      </c>
      <c r="Q400" s="30">
        <v>0</v>
      </c>
      <c r="R400" s="30">
        <v>0</v>
      </c>
      <c r="S400" s="30">
        <v>0</v>
      </c>
      <c r="T400" s="30">
        <v>0</v>
      </c>
      <c r="U400" s="30">
        <v>0</v>
      </c>
      <c r="V400" s="30">
        <v>0</v>
      </c>
      <c r="W400" s="30">
        <v>0</v>
      </c>
      <c r="X400" s="30">
        <v>0</v>
      </c>
      <c r="Y400" s="30">
        <v>0</v>
      </c>
      <c r="Z400" s="30">
        <v>0</v>
      </c>
      <c r="AA400" s="30">
        <v>0</v>
      </c>
      <c r="AB400" s="30">
        <v>0</v>
      </c>
      <c r="AC400" s="30">
        <v>0</v>
      </c>
      <c r="AD400" s="30">
        <v>0</v>
      </c>
      <c r="AE400" s="30">
        <v>0</v>
      </c>
      <c r="AF400" s="30">
        <v>0</v>
      </c>
      <c r="AG400" s="30">
        <v>0</v>
      </c>
      <c r="AH400" s="30">
        <v>0</v>
      </c>
      <c r="AI400" s="30">
        <v>0</v>
      </c>
      <c r="AJ400" s="30">
        <v>0</v>
      </c>
      <c r="AK400" s="30">
        <v>0</v>
      </c>
      <c r="AL400" s="30"/>
      <c r="AM400" s="55">
        <f t="shared" si="51"/>
        <v>0</v>
      </c>
      <c r="AN400" s="55">
        <f t="shared" si="52"/>
        <v>0</v>
      </c>
      <c r="AO400" s="72"/>
      <c r="AP400" s="74" t="str">
        <f t="shared" si="53"/>
        <v/>
      </c>
      <c r="AQ400" s="74" t="str">
        <f t="shared" si="54"/>
        <v/>
      </c>
    </row>
    <row r="401" spans="1:43" ht="13.8" thickBot="1" x14ac:dyDescent="0.3">
      <c r="A401" s="68">
        <v>30</v>
      </c>
      <c r="B401" s="67" t="s">
        <v>993</v>
      </c>
      <c r="C401" s="69" t="s">
        <v>988</v>
      </c>
      <c r="D401" s="66" t="s">
        <v>219</v>
      </c>
      <c r="E401" s="66" t="s">
        <v>994</v>
      </c>
      <c r="F401" s="54"/>
      <c r="G401" s="54"/>
      <c r="H401" s="30">
        <v>0</v>
      </c>
      <c r="I401" s="30">
        <v>0</v>
      </c>
      <c r="J401" s="30">
        <v>0</v>
      </c>
      <c r="K401" s="30">
        <v>0</v>
      </c>
      <c r="L401" s="30">
        <v>0</v>
      </c>
      <c r="M401" s="30">
        <v>0</v>
      </c>
      <c r="N401" s="30">
        <v>0</v>
      </c>
      <c r="O401" s="30">
        <v>0</v>
      </c>
      <c r="P401" s="30">
        <v>0</v>
      </c>
      <c r="Q401" s="30">
        <v>0</v>
      </c>
      <c r="R401" s="30">
        <v>0</v>
      </c>
      <c r="S401" s="30">
        <v>0</v>
      </c>
      <c r="T401" s="30">
        <v>0</v>
      </c>
      <c r="U401" s="30">
        <v>0</v>
      </c>
      <c r="V401" s="30">
        <v>0</v>
      </c>
      <c r="W401" s="30">
        <v>0</v>
      </c>
      <c r="X401" s="30">
        <v>0</v>
      </c>
      <c r="Y401" s="30">
        <v>0</v>
      </c>
      <c r="Z401" s="30">
        <v>0</v>
      </c>
      <c r="AA401" s="30">
        <v>0</v>
      </c>
      <c r="AB401" s="30">
        <v>0</v>
      </c>
      <c r="AC401" s="30">
        <v>0</v>
      </c>
      <c r="AD401" s="30">
        <v>0</v>
      </c>
      <c r="AE401" s="30">
        <v>0</v>
      </c>
      <c r="AF401" s="30">
        <v>0</v>
      </c>
      <c r="AG401" s="30">
        <v>0</v>
      </c>
      <c r="AH401" s="30">
        <v>0</v>
      </c>
      <c r="AI401" s="30">
        <v>0</v>
      </c>
      <c r="AJ401" s="30">
        <v>0</v>
      </c>
      <c r="AK401" s="30">
        <v>0</v>
      </c>
      <c r="AL401" s="30"/>
      <c r="AM401" s="55">
        <f t="shared" si="51"/>
        <v>0</v>
      </c>
      <c r="AN401" s="55">
        <f t="shared" si="52"/>
        <v>0</v>
      </c>
      <c r="AO401" s="72"/>
      <c r="AP401" s="74" t="str">
        <f t="shared" si="53"/>
        <v/>
      </c>
      <c r="AQ401" s="74" t="str">
        <f t="shared" si="54"/>
        <v/>
      </c>
    </row>
    <row r="402" spans="1:43" ht="13.8" thickBot="1" x14ac:dyDescent="0.3">
      <c r="A402" s="68">
        <v>31</v>
      </c>
      <c r="B402" s="67" t="s">
        <v>990</v>
      </c>
      <c r="C402" s="69" t="s">
        <v>989</v>
      </c>
      <c r="D402" s="66" t="s">
        <v>219</v>
      </c>
      <c r="E402" s="70" t="s">
        <v>13</v>
      </c>
      <c r="F402" s="54"/>
      <c r="G402" s="54"/>
      <c r="H402" s="30">
        <v>0</v>
      </c>
      <c r="I402" s="30">
        <v>0</v>
      </c>
      <c r="J402" s="30">
        <v>0</v>
      </c>
      <c r="K402" s="30">
        <v>0</v>
      </c>
      <c r="L402" s="30">
        <v>0</v>
      </c>
      <c r="M402" s="30">
        <v>0</v>
      </c>
      <c r="N402" s="30">
        <v>0</v>
      </c>
      <c r="O402" s="30">
        <v>0</v>
      </c>
      <c r="P402" s="30">
        <v>0</v>
      </c>
      <c r="Q402" s="30">
        <v>0</v>
      </c>
      <c r="R402" s="30">
        <v>0</v>
      </c>
      <c r="S402" s="30">
        <v>0</v>
      </c>
      <c r="T402" s="30">
        <v>0</v>
      </c>
      <c r="U402" s="30">
        <v>0</v>
      </c>
      <c r="V402" s="30">
        <v>0</v>
      </c>
      <c r="W402" s="30">
        <v>0</v>
      </c>
      <c r="X402" s="30">
        <v>0</v>
      </c>
      <c r="Y402" s="30">
        <v>0</v>
      </c>
      <c r="Z402" s="30">
        <v>0</v>
      </c>
      <c r="AA402" s="30">
        <v>0</v>
      </c>
      <c r="AB402" s="30">
        <v>0</v>
      </c>
      <c r="AC402" s="30">
        <v>0</v>
      </c>
      <c r="AD402" s="30">
        <v>0</v>
      </c>
      <c r="AE402" s="30">
        <v>0</v>
      </c>
      <c r="AF402" s="30">
        <v>0</v>
      </c>
      <c r="AG402" s="30">
        <v>0</v>
      </c>
      <c r="AH402" s="30">
        <v>0</v>
      </c>
      <c r="AI402" s="30">
        <v>0</v>
      </c>
      <c r="AJ402" s="30">
        <v>0</v>
      </c>
      <c r="AK402" s="30">
        <v>0</v>
      </c>
      <c r="AL402" s="30"/>
      <c r="AM402" s="55">
        <f t="shared" si="51"/>
        <v>0</v>
      </c>
      <c r="AN402" s="55">
        <f t="shared" si="52"/>
        <v>0</v>
      </c>
      <c r="AO402" s="72"/>
      <c r="AP402" s="74" t="str">
        <f t="shared" si="53"/>
        <v/>
      </c>
      <c r="AQ402" s="74" t="str">
        <f t="shared" si="54"/>
        <v/>
      </c>
    </row>
    <row r="403" spans="1:43" ht="13.8" thickBot="1" x14ac:dyDescent="0.3">
      <c r="A403" s="68">
        <v>32</v>
      </c>
      <c r="B403" s="67" t="s">
        <v>196</v>
      </c>
      <c r="C403" s="69" t="s">
        <v>991</v>
      </c>
      <c r="D403" s="66" t="s">
        <v>213</v>
      </c>
      <c r="E403" s="66" t="s">
        <v>197</v>
      </c>
      <c r="F403" s="54"/>
      <c r="G403" s="54"/>
      <c r="H403" s="30">
        <v>0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O403" s="30">
        <v>0</v>
      </c>
      <c r="P403" s="30">
        <v>0</v>
      </c>
      <c r="Q403" s="30">
        <v>0</v>
      </c>
      <c r="R403" s="30">
        <v>0</v>
      </c>
      <c r="S403" s="30">
        <v>0</v>
      </c>
      <c r="T403" s="30">
        <v>0</v>
      </c>
      <c r="U403" s="30">
        <v>0</v>
      </c>
      <c r="V403" s="30">
        <v>0</v>
      </c>
      <c r="W403" s="30">
        <v>0</v>
      </c>
      <c r="X403" s="30">
        <v>0</v>
      </c>
      <c r="Y403" s="30">
        <v>0</v>
      </c>
      <c r="Z403" s="30">
        <v>0</v>
      </c>
      <c r="AA403" s="30">
        <v>0</v>
      </c>
      <c r="AB403" s="30">
        <v>0</v>
      </c>
      <c r="AC403" s="30">
        <v>0</v>
      </c>
      <c r="AD403" s="30">
        <v>0</v>
      </c>
      <c r="AE403" s="30">
        <v>0</v>
      </c>
      <c r="AF403" s="30">
        <v>0</v>
      </c>
      <c r="AG403" s="30">
        <v>0</v>
      </c>
      <c r="AH403" s="30">
        <v>0</v>
      </c>
      <c r="AI403" s="30">
        <v>0</v>
      </c>
      <c r="AJ403" s="30">
        <v>0</v>
      </c>
      <c r="AK403" s="30">
        <v>0</v>
      </c>
      <c r="AL403" s="30"/>
      <c r="AM403" s="55">
        <f t="shared" si="51"/>
        <v>0</v>
      </c>
      <c r="AN403" s="55">
        <f t="shared" si="52"/>
        <v>0</v>
      </c>
      <c r="AO403" s="72"/>
      <c r="AP403" s="74" t="str">
        <f t="shared" si="53"/>
        <v/>
      </c>
      <c r="AQ403" s="74" t="str">
        <f t="shared" si="54"/>
        <v/>
      </c>
    </row>
    <row r="404" spans="1:43" ht="13.8" thickBot="1" x14ac:dyDescent="0.3">
      <c r="A404" s="68">
        <v>33</v>
      </c>
      <c r="B404" s="67" t="s">
        <v>215</v>
      </c>
      <c r="C404" s="69" t="s">
        <v>992</v>
      </c>
      <c r="D404" s="66" t="s">
        <v>198</v>
      </c>
      <c r="E404" s="66" t="s">
        <v>206</v>
      </c>
      <c r="F404" s="54"/>
      <c r="G404" s="54"/>
      <c r="H404" s="30">
        <v>0</v>
      </c>
      <c r="I404" s="30">
        <v>0</v>
      </c>
      <c r="J404" s="30">
        <v>0</v>
      </c>
      <c r="K404" s="30">
        <v>0</v>
      </c>
      <c r="L404" s="30">
        <v>0</v>
      </c>
      <c r="M404" s="30">
        <v>0</v>
      </c>
      <c r="N404" s="30">
        <v>0</v>
      </c>
      <c r="O404" s="30">
        <v>0</v>
      </c>
      <c r="P404" s="30">
        <v>0</v>
      </c>
      <c r="Q404" s="30">
        <v>0</v>
      </c>
      <c r="R404" s="30">
        <v>0</v>
      </c>
      <c r="S404" s="30">
        <v>0</v>
      </c>
      <c r="T404" s="30">
        <v>0</v>
      </c>
      <c r="U404" s="30">
        <v>0</v>
      </c>
      <c r="V404" s="30">
        <v>0</v>
      </c>
      <c r="W404" s="30">
        <v>0</v>
      </c>
      <c r="X404" s="30">
        <v>0</v>
      </c>
      <c r="Y404" s="30">
        <v>0</v>
      </c>
      <c r="Z404" s="30">
        <v>0</v>
      </c>
      <c r="AA404" s="30">
        <v>0</v>
      </c>
      <c r="AB404" s="30">
        <v>0</v>
      </c>
      <c r="AC404" s="30">
        <v>0</v>
      </c>
      <c r="AD404" s="30">
        <v>0</v>
      </c>
      <c r="AE404" s="30">
        <v>0</v>
      </c>
      <c r="AF404" s="30">
        <v>0</v>
      </c>
      <c r="AG404" s="30">
        <v>0</v>
      </c>
      <c r="AH404" s="30">
        <v>0</v>
      </c>
      <c r="AI404" s="30">
        <v>0</v>
      </c>
      <c r="AJ404" s="30">
        <v>0</v>
      </c>
      <c r="AK404" s="30">
        <v>0</v>
      </c>
      <c r="AL404" s="30"/>
      <c r="AM404" s="55">
        <f t="shared" si="51"/>
        <v>0</v>
      </c>
      <c r="AN404" s="55">
        <f t="shared" si="52"/>
        <v>0</v>
      </c>
      <c r="AO404" s="72"/>
      <c r="AP404" s="74" t="str">
        <f t="shared" si="53"/>
        <v/>
      </c>
      <c r="AQ404" s="74" t="str">
        <f t="shared" si="54"/>
        <v/>
      </c>
    </row>
    <row r="405" spans="1:43" ht="13.8" thickBot="1" x14ac:dyDescent="0.3">
      <c r="A405" s="68">
        <v>34</v>
      </c>
      <c r="B405" s="67" t="s">
        <v>226</v>
      </c>
      <c r="C405" s="69" t="s">
        <v>992</v>
      </c>
      <c r="D405" s="66" t="s">
        <v>230</v>
      </c>
      <c r="E405" s="66" t="s">
        <v>227</v>
      </c>
      <c r="F405" s="54"/>
      <c r="G405" s="54"/>
      <c r="H405" s="30">
        <v>0</v>
      </c>
      <c r="I405" s="30">
        <v>0</v>
      </c>
      <c r="J405" s="30">
        <v>0</v>
      </c>
      <c r="K405" s="30">
        <v>0</v>
      </c>
      <c r="L405" s="30">
        <v>0</v>
      </c>
      <c r="M405" s="30">
        <v>0</v>
      </c>
      <c r="N405" s="30">
        <v>0</v>
      </c>
      <c r="O405" s="30">
        <v>0</v>
      </c>
      <c r="P405" s="30">
        <v>0</v>
      </c>
      <c r="Q405" s="30">
        <v>0</v>
      </c>
      <c r="R405" s="30">
        <v>0</v>
      </c>
      <c r="S405" s="30">
        <v>0</v>
      </c>
      <c r="T405" s="30">
        <v>0</v>
      </c>
      <c r="U405" s="30">
        <v>0</v>
      </c>
      <c r="V405" s="30">
        <v>0</v>
      </c>
      <c r="W405" s="30">
        <v>0</v>
      </c>
      <c r="X405" s="30">
        <v>0</v>
      </c>
      <c r="Y405" s="30">
        <v>0</v>
      </c>
      <c r="Z405" s="30">
        <v>0</v>
      </c>
      <c r="AA405" s="30">
        <v>0</v>
      </c>
      <c r="AB405" s="30">
        <v>0</v>
      </c>
      <c r="AC405" s="30">
        <v>0</v>
      </c>
      <c r="AD405" s="30">
        <v>0</v>
      </c>
      <c r="AE405" s="30">
        <v>0</v>
      </c>
      <c r="AF405" s="30">
        <v>0</v>
      </c>
      <c r="AG405" s="30">
        <v>0</v>
      </c>
      <c r="AH405" s="30">
        <v>0</v>
      </c>
      <c r="AI405" s="30">
        <v>0</v>
      </c>
      <c r="AJ405" s="30">
        <v>0</v>
      </c>
      <c r="AK405" s="30">
        <v>0</v>
      </c>
      <c r="AL405" s="30"/>
      <c r="AM405" s="55">
        <f t="shared" si="51"/>
        <v>0</v>
      </c>
      <c r="AN405" s="55">
        <f t="shared" si="52"/>
        <v>0</v>
      </c>
      <c r="AO405" s="72"/>
      <c r="AP405" s="74" t="str">
        <f t="shared" si="53"/>
        <v/>
      </c>
      <c r="AQ405" s="74" t="str">
        <f t="shared" si="54"/>
        <v/>
      </c>
    </row>
    <row r="406" spans="1:43" ht="13.8" thickBot="1" x14ac:dyDescent="0.3">
      <c r="A406" s="68">
        <v>35</v>
      </c>
      <c r="B406" s="67"/>
      <c r="C406" s="69"/>
      <c r="D406" s="66"/>
      <c r="E406" s="66"/>
      <c r="F406" s="54"/>
      <c r="G406" s="54"/>
      <c r="H406" s="30">
        <v>0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0</v>
      </c>
      <c r="O406" s="30">
        <v>0</v>
      </c>
      <c r="P406" s="30">
        <v>0</v>
      </c>
      <c r="Q406" s="30">
        <v>0</v>
      </c>
      <c r="R406" s="30">
        <v>0</v>
      </c>
      <c r="S406" s="30">
        <v>0</v>
      </c>
      <c r="T406" s="30">
        <v>0</v>
      </c>
      <c r="U406" s="30">
        <v>0</v>
      </c>
      <c r="V406" s="30">
        <v>0</v>
      </c>
      <c r="W406" s="30">
        <v>0</v>
      </c>
      <c r="X406" s="30">
        <v>0</v>
      </c>
      <c r="Y406" s="30">
        <v>0</v>
      </c>
      <c r="Z406" s="30">
        <v>0</v>
      </c>
      <c r="AA406" s="30">
        <v>0</v>
      </c>
      <c r="AB406" s="30">
        <v>0</v>
      </c>
      <c r="AC406" s="30">
        <v>0</v>
      </c>
      <c r="AD406" s="30">
        <v>0</v>
      </c>
      <c r="AE406" s="30">
        <v>0</v>
      </c>
      <c r="AF406" s="30">
        <v>0</v>
      </c>
      <c r="AG406" s="30">
        <v>0</v>
      </c>
      <c r="AH406" s="30">
        <v>0</v>
      </c>
      <c r="AI406" s="30">
        <v>0</v>
      </c>
      <c r="AJ406" s="30">
        <v>0</v>
      </c>
      <c r="AK406" s="30">
        <v>0</v>
      </c>
      <c r="AL406" s="30"/>
      <c r="AM406" s="55">
        <f t="shared" si="51"/>
        <v>0</v>
      </c>
      <c r="AN406" s="55">
        <f t="shared" si="52"/>
        <v>0</v>
      </c>
      <c r="AO406" s="72"/>
      <c r="AP406" s="74" t="str">
        <f t="shared" si="53"/>
        <v/>
      </c>
      <c r="AQ406" s="74" t="str">
        <f t="shared" si="54"/>
        <v/>
      </c>
    </row>
    <row r="407" spans="1:43" ht="13.8" thickBot="1" x14ac:dyDescent="0.3">
      <c r="A407" s="68">
        <v>36</v>
      </c>
      <c r="B407" s="67"/>
      <c r="C407" s="69"/>
      <c r="D407" s="66"/>
      <c r="E407" s="66"/>
      <c r="F407" s="54"/>
      <c r="G407" s="54"/>
      <c r="H407" s="30">
        <v>0</v>
      </c>
      <c r="I407" s="30">
        <v>0</v>
      </c>
      <c r="J407" s="30">
        <v>0</v>
      </c>
      <c r="K407" s="30">
        <v>0</v>
      </c>
      <c r="L407" s="30">
        <v>0</v>
      </c>
      <c r="M407" s="30">
        <v>0</v>
      </c>
      <c r="N407" s="30">
        <v>0</v>
      </c>
      <c r="O407" s="30">
        <v>0</v>
      </c>
      <c r="P407" s="30">
        <v>0</v>
      </c>
      <c r="Q407" s="30">
        <v>0</v>
      </c>
      <c r="R407" s="30">
        <v>0</v>
      </c>
      <c r="S407" s="30">
        <v>0</v>
      </c>
      <c r="T407" s="30">
        <v>0</v>
      </c>
      <c r="U407" s="30">
        <v>0</v>
      </c>
      <c r="V407" s="30">
        <v>0</v>
      </c>
      <c r="W407" s="30">
        <v>0</v>
      </c>
      <c r="X407" s="30">
        <v>0</v>
      </c>
      <c r="Y407" s="30">
        <v>0</v>
      </c>
      <c r="Z407" s="30">
        <v>0</v>
      </c>
      <c r="AA407" s="30">
        <v>0</v>
      </c>
      <c r="AB407" s="30">
        <v>0</v>
      </c>
      <c r="AC407" s="30">
        <v>0</v>
      </c>
      <c r="AD407" s="30">
        <v>0</v>
      </c>
      <c r="AE407" s="30">
        <v>0</v>
      </c>
      <c r="AF407" s="30">
        <v>0</v>
      </c>
      <c r="AG407" s="30">
        <v>0</v>
      </c>
      <c r="AH407" s="30">
        <v>0</v>
      </c>
      <c r="AI407" s="30">
        <v>0</v>
      </c>
      <c r="AJ407" s="30">
        <v>0</v>
      </c>
      <c r="AK407" s="30">
        <v>0</v>
      </c>
      <c r="AL407" s="30"/>
      <c r="AM407" s="55">
        <f t="shared" si="51"/>
        <v>0</v>
      </c>
      <c r="AN407" s="55">
        <f t="shared" si="52"/>
        <v>0</v>
      </c>
      <c r="AO407" s="72"/>
      <c r="AP407" s="74" t="str">
        <f t="shared" si="53"/>
        <v/>
      </c>
      <c r="AQ407" s="74" t="str">
        <f t="shared" si="54"/>
        <v/>
      </c>
    </row>
    <row r="408" spans="1:43" ht="13.8" thickBot="1" x14ac:dyDescent="0.3">
      <c r="A408" s="68">
        <v>37</v>
      </c>
      <c r="B408" s="67"/>
      <c r="C408" s="69"/>
      <c r="D408" s="66"/>
      <c r="E408" s="66"/>
      <c r="F408" s="54"/>
      <c r="G408" s="54"/>
      <c r="H408" s="30">
        <v>0</v>
      </c>
      <c r="I408" s="30">
        <v>0</v>
      </c>
      <c r="J408" s="30">
        <v>0</v>
      </c>
      <c r="K408" s="30">
        <v>0</v>
      </c>
      <c r="L408" s="30">
        <v>0</v>
      </c>
      <c r="M408" s="30">
        <v>0</v>
      </c>
      <c r="N408" s="30">
        <v>0</v>
      </c>
      <c r="O408" s="30">
        <v>0</v>
      </c>
      <c r="P408" s="30">
        <v>0</v>
      </c>
      <c r="Q408" s="30">
        <v>0</v>
      </c>
      <c r="R408" s="30">
        <v>0</v>
      </c>
      <c r="S408" s="30">
        <v>0</v>
      </c>
      <c r="T408" s="30">
        <v>0</v>
      </c>
      <c r="U408" s="30">
        <v>0</v>
      </c>
      <c r="V408" s="30">
        <v>0</v>
      </c>
      <c r="W408" s="30">
        <v>0</v>
      </c>
      <c r="X408" s="30">
        <v>0</v>
      </c>
      <c r="Y408" s="30">
        <v>0</v>
      </c>
      <c r="Z408" s="30">
        <v>0</v>
      </c>
      <c r="AA408" s="30">
        <v>0</v>
      </c>
      <c r="AB408" s="30">
        <v>0</v>
      </c>
      <c r="AC408" s="30">
        <v>0</v>
      </c>
      <c r="AD408" s="30">
        <v>0</v>
      </c>
      <c r="AE408" s="30">
        <v>0</v>
      </c>
      <c r="AF408" s="30">
        <v>0</v>
      </c>
      <c r="AG408" s="30">
        <v>0</v>
      </c>
      <c r="AH408" s="30">
        <v>0</v>
      </c>
      <c r="AI408" s="30">
        <v>0</v>
      </c>
      <c r="AJ408" s="30">
        <v>0</v>
      </c>
      <c r="AK408" s="30">
        <v>0</v>
      </c>
      <c r="AL408" s="30"/>
      <c r="AM408" s="55">
        <f t="shared" si="51"/>
        <v>0</v>
      </c>
      <c r="AN408" s="55">
        <f t="shared" si="52"/>
        <v>0</v>
      </c>
      <c r="AO408" s="72"/>
      <c r="AP408" s="74" t="str">
        <f t="shared" si="53"/>
        <v/>
      </c>
      <c r="AQ408" s="74" t="str">
        <f t="shared" si="54"/>
        <v/>
      </c>
    </row>
    <row r="409" spans="1:43" ht="13.8" thickBot="1" x14ac:dyDescent="0.3">
      <c r="A409" s="68">
        <v>38</v>
      </c>
      <c r="B409" s="67"/>
      <c r="C409" s="69"/>
      <c r="D409" s="66"/>
      <c r="E409" s="66"/>
      <c r="F409" s="54"/>
      <c r="G409" s="54"/>
      <c r="H409" s="30">
        <v>0</v>
      </c>
      <c r="I409" s="30">
        <v>0</v>
      </c>
      <c r="J409" s="30">
        <v>0</v>
      </c>
      <c r="K409" s="30">
        <v>0</v>
      </c>
      <c r="L409" s="30">
        <v>0</v>
      </c>
      <c r="M409" s="30">
        <v>0</v>
      </c>
      <c r="N409" s="30">
        <v>0</v>
      </c>
      <c r="O409" s="30">
        <v>0</v>
      </c>
      <c r="P409" s="30">
        <v>0</v>
      </c>
      <c r="Q409" s="30">
        <v>0</v>
      </c>
      <c r="R409" s="30">
        <v>0</v>
      </c>
      <c r="S409" s="30">
        <v>0</v>
      </c>
      <c r="T409" s="30">
        <v>0</v>
      </c>
      <c r="U409" s="30">
        <v>0</v>
      </c>
      <c r="V409" s="30">
        <v>0</v>
      </c>
      <c r="W409" s="30">
        <v>0</v>
      </c>
      <c r="X409" s="30">
        <v>0</v>
      </c>
      <c r="Y409" s="30">
        <v>0</v>
      </c>
      <c r="Z409" s="30">
        <v>0</v>
      </c>
      <c r="AA409" s="30">
        <v>0</v>
      </c>
      <c r="AB409" s="30">
        <v>0</v>
      </c>
      <c r="AC409" s="30">
        <v>0</v>
      </c>
      <c r="AD409" s="30">
        <v>0</v>
      </c>
      <c r="AE409" s="30">
        <v>0</v>
      </c>
      <c r="AF409" s="30">
        <v>0</v>
      </c>
      <c r="AG409" s="30">
        <v>0</v>
      </c>
      <c r="AH409" s="30">
        <v>0</v>
      </c>
      <c r="AI409" s="30">
        <v>0</v>
      </c>
      <c r="AJ409" s="30">
        <v>0</v>
      </c>
      <c r="AK409" s="30">
        <v>0</v>
      </c>
      <c r="AL409" s="30"/>
      <c r="AM409" s="55">
        <f t="shared" si="51"/>
        <v>0</v>
      </c>
      <c r="AN409" s="55">
        <f t="shared" si="52"/>
        <v>0</v>
      </c>
      <c r="AO409" s="72"/>
      <c r="AP409" s="74" t="str">
        <f t="shared" si="53"/>
        <v/>
      </c>
      <c r="AQ409" s="74" t="str">
        <f t="shared" si="54"/>
        <v/>
      </c>
    </row>
    <row r="410" spans="1:43" ht="13.8" thickBot="1" x14ac:dyDescent="0.3">
      <c r="A410" s="68">
        <v>39</v>
      </c>
      <c r="B410" s="54"/>
      <c r="C410" s="54"/>
      <c r="D410" s="66"/>
      <c r="E410" s="66"/>
      <c r="F410" s="54"/>
      <c r="G410" s="54"/>
      <c r="H410" s="30">
        <v>0</v>
      </c>
      <c r="I410" s="30">
        <v>0</v>
      </c>
      <c r="J410" s="30">
        <v>0</v>
      </c>
      <c r="K410" s="30">
        <v>0</v>
      </c>
      <c r="L410" s="30">
        <v>0</v>
      </c>
      <c r="M410" s="30">
        <v>0</v>
      </c>
      <c r="N410" s="30">
        <v>0</v>
      </c>
      <c r="O410" s="30">
        <v>0</v>
      </c>
      <c r="P410" s="30">
        <v>0</v>
      </c>
      <c r="Q410" s="30">
        <v>0</v>
      </c>
      <c r="R410" s="30">
        <v>0</v>
      </c>
      <c r="S410" s="30">
        <v>0</v>
      </c>
      <c r="T410" s="30">
        <v>0</v>
      </c>
      <c r="U410" s="30">
        <v>0</v>
      </c>
      <c r="V410" s="30">
        <v>0</v>
      </c>
      <c r="W410" s="30">
        <v>0</v>
      </c>
      <c r="X410" s="30">
        <v>0</v>
      </c>
      <c r="Y410" s="30">
        <v>0</v>
      </c>
      <c r="Z410" s="30">
        <v>0</v>
      </c>
      <c r="AA410" s="30">
        <v>0</v>
      </c>
      <c r="AB410" s="30">
        <v>0</v>
      </c>
      <c r="AC410" s="30">
        <v>0</v>
      </c>
      <c r="AD410" s="30">
        <v>0</v>
      </c>
      <c r="AE410" s="30">
        <v>0</v>
      </c>
      <c r="AF410" s="30">
        <v>0</v>
      </c>
      <c r="AG410" s="30">
        <v>0</v>
      </c>
      <c r="AH410" s="30">
        <v>0</v>
      </c>
      <c r="AI410" s="30">
        <v>0</v>
      </c>
      <c r="AJ410" s="30">
        <v>0</v>
      </c>
      <c r="AK410" s="30">
        <v>0</v>
      </c>
      <c r="AL410" s="30"/>
      <c r="AM410" s="55">
        <f t="shared" si="51"/>
        <v>0</v>
      </c>
      <c r="AN410" s="55">
        <f t="shared" si="52"/>
        <v>0</v>
      </c>
      <c r="AO410" s="72"/>
      <c r="AP410" s="74" t="str">
        <f t="shared" si="53"/>
        <v/>
      </c>
      <c r="AQ410" s="74" t="str">
        <f t="shared" si="54"/>
        <v/>
      </c>
    </row>
    <row r="411" spans="1:43" ht="18.600000000000001" customHeight="1" thickBot="1" x14ac:dyDescent="0.3">
      <c r="A411" s="92"/>
      <c r="B411" s="93"/>
      <c r="C411" s="42"/>
      <c r="D411" s="42"/>
      <c r="E411" s="42"/>
      <c r="F411" s="42"/>
      <c r="G411" s="42"/>
      <c r="H411" s="55">
        <f t="shared" ref="H411:AN411" si="55">SUM(H371:H410)</f>
        <v>0</v>
      </c>
      <c r="I411" s="55">
        <f t="shared" si="55"/>
        <v>0</v>
      </c>
      <c r="J411" s="55">
        <f t="shared" si="55"/>
        <v>0</v>
      </c>
      <c r="K411" s="55">
        <f t="shared" si="55"/>
        <v>0</v>
      </c>
      <c r="L411" s="55">
        <f t="shared" si="55"/>
        <v>0</v>
      </c>
      <c r="M411" s="55">
        <f t="shared" si="55"/>
        <v>0</v>
      </c>
      <c r="N411" s="55">
        <f t="shared" si="55"/>
        <v>0</v>
      </c>
      <c r="O411" s="55">
        <f t="shared" si="55"/>
        <v>0</v>
      </c>
      <c r="P411" s="55">
        <f t="shared" si="55"/>
        <v>0</v>
      </c>
      <c r="Q411" s="55">
        <f t="shared" si="55"/>
        <v>0</v>
      </c>
      <c r="R411" s="55">
        <f t="shared" si="55"/>
        <v>0</v>
      </c>
      <c r="S411" s="55">
        <f t="shared" si="55"/>
        <v>0</v>
      </c>
      <c r="T411" s="55">
        <f t="shared" si="55"/>
        <v>0</v>
      </c>
      <c r="U411" s="55">
        <f t="shared" si="55"/>
        <v>0</v>
      </c>
      <c r="V411" s="55">
        <f t="shared" si="55"/>
        <v>0</v>
      </c>
      <c r="W411" s="55">
        <f t="shared" si="55"/>
        <v>0</v>
      </c>
      <c r="X411" s="55">
        <f t="shared" si="55"/>
        <v>0</v>
      </c>
      <c r="Y411" s="55">
        <f t="shared" si="55"/>
        <v>0</v>
      </c>
      <c r="Z411" s="55">
        <f t="shared" si="55"/>
        <v>0</v>
      </c>
      <c r="AA411" s="55">
        <f t="shared" si="55"/>
        <v>0</v>
      </c>
      <c r="AB411" s="55">
        <f t="shared" si="55"/>
        <v>0</v>
      </c>
      <c r="AC411" s="55">
        <f t="shared" si="55"/>
        <v>0</v>
      </c>
      <c r="AD411" s="55">
        <f t="shared" si="55"/>
        <v>0</v>
      </c>
      <c r="AE411" s="55">
        <f t="shared" si="55"/>
        <v>0</v>
      </c>
      <c r="AF411" s="55">
        <f t="shared" si="55"/>
        <v>0</v>
      </c>
      <c r="AG411" s="55">
        <f t="shared" si="55"/>
        <v>0</v>
      </c>
      <c r="AH411" s="55">
        <f t="shared" si="55"/>
        <v>0</v>
      </c>
      <c r="AI411" s="55">
        <f t="shared" si="55"/>
        <v>0</v>
      </c>
      <c r="AJ411" s="55">
        <f t="shared" si="55"/>
        <v>0</v>
      </c>
      <c r="AK411" s="55">
        <f t="shared" si="55"/>
        <v>0</v>
      </c>
      <c r="AL411" s="55">
        <f t="shared" si="55"/>
        <v>0</v>
      </c>
      <c r="AM411" s="30">
        <f t="shared" si="55"/>
        <v>0</v>
      </c>
      <c r="AN411" s="30">
        <f t="shared" si="55"/>
        <v>0</v>
      </c>
    </row>
    <row r="413" spans="1:43" ht="19.8" customHeight="1" x14ac:dyDescent="0.25">
      <c r="A413" s="92" t="s">
        <v>174</v>
      </c>
      <c r="B413" s="93"/>
      <c r="C413" s="42"/>
      <c r="D413" s="42"/>
      <c r="E413" s="42"/>
      <c r="F413" s="42"/>
      <c r="G413" s="42"/>
      <c r="H413" s="111">
        <v>45931</v>
      </c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  <c r="AA413" s="112"/>
      <c r="AB413" s="112"/>
      <c r="AC413" s="112"/>
      <c r="AD413" s="112"/>
      <c r="AE413" s="112"/>
      <c r="AF413" s="112"/>
      <c r="AG413" s="112"/>
      <c r="AH413" s="112"/>
      <c r="AI413" s="112"/>
      <c r="AJ413" s="112"/>
      <c r="AK413" s="112"/>
      <c r="AL413" s="112"/>
      <c r="AM413" s="140" t="s">
        <v>954</v>
      </c>
      <c r="AN413" s="146" t="s">
        <v>953</v>
      </c>
      <c r="AO413" s="148" t="s">
        <v>955</v>
      </c>
      <c r="AP413" s="144" t="s">
        <v>958</v>
      </c>
      <c r="AQ413" s="144"/>
    </row>
    <row r="414" spans="1:43" ht="34.200000000000003" customHeight="1" thickBot="1" x14ac:dyDescent="0.3">
      <c r="A414" s="138" t="s">
        <v>948</v>
      </c>
      <c r="B414" s="138" t="s">
        <v>947</v>
      </c>
      <c r="C414" s="138" t="s">
        <v>959</v>
      </c>
      <c r="D414" s="138" t="s">
        <v>949</v>
      </c>
      <c r="E414" s="138"/>
      <c r="F414" s="154" t="s">
        <v>192</v>
      </c>
      <c r="G414" s="142" t="s">
        <v>193</v>
      </c>
      <c r="H414" s="45">
        <v>1</v>
      </c>
      <c r="I414" s="45">
        <v>2</v>
      </c>
      <c r="J414" s="45">
        <v>3</v>
      </c>
      <c r="K414" s="45">
        <v>4</v>
      </c>
      <c r="L414" s="45">
        <v>5</v>
      </c>
      <c r="M414" s="45">
        <v>6</v>
      </c>
      <c r="N414" s="45">
        <v>7</v>
      </c>
      <c r="O414" s="45">
        <v>8</v>
      </c>
      <c r="P414" s="45">
        <v>9</v>
      </c>
      <c r="Q414" s="45">
        <v>10</v>
      </c>
      <c r="R414" s="45">
        <v>11</v>
      </c>
      <c r="S414" s="45">
        <v>12</v>
      </c>
      <c r="T414" s="45">
        <v>13</v>
      </c>
      <c r="U414" s="45">
        <v>14</v>
      </c>
      <c r="V414" s="45">
        <v>15</v>
      </c>
      <c r="W414" s="45">
        <v>16</v>
      </c>
      <c r="X414" s="45">
        <v>17</v>
      </c>
      <c r="Y414" s="45">
        <v>18</v>
      </c>
      <c r="Z414" s="45">
        <v>19</v>
      </c>
      <c r="AA414" s="45">
        <v>20</v>
      </c>
      <c r="AB414" s="45">
        <v>21</v>
      </c>
      <c r="AC414" s="45">
        <v>22</v>
      </c>
      <c r="AD414" s="45">
        <v>23</v>
      </c>
      <c r="AE414" s="45">
        <v>24</v>
      </c>
      <c r="AF414" s="45">
        <v>25</v>
      </c>
      <c r="AG414" s="45">
        <v>26</v>
      </c>
      <c r="AH414" s="45">
        <v>27</v>
      </c>
      <c r="AI414" s="45">
        <v>28</v>
      </c>
      <c r="AJ414" s="45">
        <v>29</v>
      </c>
      <c r="AK414" s="45">
        <v>30</v>
      </c>
      <c r="AL414" s="45" t="s">
        <v>177</v>
      </c>
      <c r="AM414" s="140"/>
      <c r="AN414" s="146"/>
      <c r="AO414" s="148"/>
      <c r="AP414" s="150" t="s">
        <v>956</v>
      </c>
      <c r="AQ414" s="152" t="s">
        <v>957</v>
      </c>
    </row>
    <row r="415" spans="1:43" ht="13.8" thickBot="1" x14ac:dyDescent="0.3">
      <c r="A415" s="139"/>
      <c r="B415" s="139"/>
      <c r="C415" s="145"/>
      <c r="D415" s="64" t="s">
        <v>950</v>
      </c>
      <c r="E415" s="64" t="s">
        <v>951</v>
      </c>
      <c r="F415" s="155"/>
      <c r="G415" s="143"/>
      <c r="H415" s="28" t="s">
        <v>24</v>
      </c>
      <c r="I415" s="28" t="s">
        <v>180</v>
      </c>
      <c r="J415" s="28" t="s">
        <v>181</v>
      </c>
      <c r="K415" s="28" t="s">
        <v>182</v>
      </c>
      <c r="L415" s="28" t="s">
        <v>183</v>
      </c>
      <c r="M415" s="28" t="s">
        <v>179</v>
      </c>
      <c r="N415" s="28" t="s">
        <v>24</v>
      </c>
      <c r="O415" s="28" t="s">
        <v>24</v>
      </c>
      <c r="P415" s="28" t="s">
        <v>180</v>
      </c>
      <c r="Q415" s="28" t="s">
        <v>181</v>
      </c>
      <c r="R415" s="28" t="s">
        <v>182</v>
      </c>
      <c r="S415" s="28" t="s">
        <v>183</v>
      </c>
      <c r="T415" s="28" t="s">
        <v>179</v>
      </c>
      <c r="U415" s="28" t="s">
        <v>24</v>
      </c>
      <c r="V415" s="28" t="s">
        <v>24</v>
      </c>
      <c r="W415" s="28" t="s">
        <v>180</v>
      </c>
      <c r="X415" s="28" t="s">
        <v>181</v>
      </c>
      <c r="Y415" s="28" t="s">
        <v>182</v>
      </c>
      <c r="Z415" s="28" t="s">
        <v>183</v>
      </c>
      <c r="AA415" s="28" t="s">
        <v>179</v>
      </c>
      <c r="AB415" s="28" t="s">
        <v>24</v>
      </c>
      <c r="AC415" s="28" t="s">
        <v>24</v>
      </c>
      <c r="AD415" s="28" t="s">
        <v>180</v>
      </c>
      <c r="AE415" s="28" t="s">
        <v>181</v>
      </c>
      <c r="AF415" s="28" t="s">
        <v>182</v>
      </c>
      <c r="AG415" s="28" t="s">
        <v>183</v>
      </c>
      <c r="AH415" s="28" t="s">
        <v>179</v>
      </c>
      <c r="AI415" s="28" t="s">
        <v>24</v>
      </c>
      <c r="AJ415" s="28" t="s">
        <v>24</v>
      </c>
      <c r="AK415" s="28" t="s">
        <v>180</v>
      </c>
      <c r="AL415" s="28" t="s">
        <v>181</v>
      </c>
      <c r="AM415" s="141"/>
      <c r="AN415" s="147"/>
      <c r="AO415" s="149"/>
      <c r="AP415" s="151"/>
      <c r="AQ415" s="153"/>
    </row>
    <row r="416" spans="1:43" ht="13.8" thickBot="1" x14ac:dyDescent="0.3">
      <c r="A416" s="68">
        <v>1</v>
      </c>
      <c r="B416" s="67" t="s">
        <v>965</v>
      </c>
      <c r="C416" s="66" t="s">
        <v>960</v>
      </c>
      <c r="D416" s="66" t="s">
        <v>213</v>
      </c>
      <c r="E416" s="69" t="s">
        <v>197</v>
      </c>
      <c r="F416" s="54"/>
      <c r="G416" s="54"/>
      <c r="H416" s="30">
        <v>0</v>
      </c>
      <c r="I416" s="30">
        <v>0</v>
      </c>
      <c r="J416" s="30">
        <v>0</v>
      </c>
      <c r="K416" s="30">
        <v>0</v>
      </c>
      <c r="L416" s="30">
        <v>0</v>
      </c>
      <c r="M416" s="30">
        <v>0</v>
      </c>
      <c r="N416" s="30">
        <v>0</v>
      </c>
      <c r="O416" s="30">
        <v>0</v>
      </c>
      <c r="P416" s="30">
        <v>0</v>
      </c>
      <c r="Q416" s="30">
        <v>0</v>
      </c>
      <c r="R416" s="30">
        <v>0</v>
      </c>
      <c r="S416" s="30">
        <v>0</v>
      </c>
      <c r="T416" s="30">
        <v>0</v>
      </c>
      <c r="U416" s="30">
        <v>0</v>
      </c>
      <c r="V416" s="30">
        <v>0</v>
      </c>
      <c r="W416" s="30">
        <v>0</v>
      </c>
      <c r="X416" s="30">
        <v>0</v>
      </c>
      <c r="Y416" s="30">
        <v>0</v>
      </c>
      <c r="Z416" s="30">
        <v>0</v>
      </c>
      <c r="AA416" s="30">
        <v>0</v>
      </c>
      <c r="AB416" s="30">
        <v>0</v>
      </c>
      <c r="AC416" s="30">
        <v>0</v>
      </c>
      <c r="AD416" s="30">
        <v>0</v>
      </c>
      <c r="AE416" s="30">
        <v>0</v>
      </c>
      <c r="AF416" s="30">
        <v>0</v>
      </c>
      <c r="AG416" s="30">
        <v>0</v>
      </c>
      <c r="AH416" s="30">
        <v>0</v>
      </c>
      <c r="AI416" s="30">
        <v>0</v>
      </c>
      <c r="AJ416" s="30">
        <v>0</v>
      </c>
      <c r="AK416" s="30">
        <v>0</v>
      </c>
      <c r="AL416" s="30">
        <v>0</v>
      </c>
      <c r="AM416" s="55">
        <f>SUM(H416:AL416)</f>
        <v>0</v>
      </c>
      <c r="AN416" s="55">
        <f>F416+G416-AM416</f>
        <v>0</v>
      </c>
      <c r="AO416" s="72"/>
      <c r="AP416" s="74" t="str">
        <f>IF(AO416="","",IF($A$2&lt;=AO416,IF((AO416-$A$2)&lt;=90,"ALERTA","A TIEMPO"),"CADUCADO"))</f>
        <v/>
      </c>
      <c r="AQ416" s="74" t="str">
        <f>IF(AO416="","",AO416-$A$2)</f>
        <v/>
      </c>
    </row>
    <row r="417" spans="1:43" ht="13.8" thickBot="1" x14ac:dyDescent="0.3">
      <c r="A417" s="68">
        <v>2</v>
      </c>
      <c r="B417" s="67" t="s">
        <v>965</v>
      </c>
      <c r="C417" s="66" t="s">
        <v>960</v>
      </c>
      <c r="D417" s="66" t="s">
        <v>224</v>
      </c>
      <c r="E417" s="71">
        <v>0.01</v>
      </c>
      <c r="F417" s="54"/>
      <c r="G417" s="54"/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0">
        <v>0</v>
      </c>
      <c r="Q417" s="30">
        <v>0</v>
      </c>
      <c r="R417" s="30">
        <v>0</v>
      </c>
      <c r="S417" s="30">
        <v>0</v>
      </c>
      <c r="T417" s="30">
        <v>0</v>
      </c>
      <c r="U417" s="30">
        <v>0</v>
      </c>
      <c r="V417" s="30">
        <v>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  <c r="AD417" s="30">
        <v>0</v>
      </c>
      <c r="AE417" s="30">
        <v>0</v>
      </c>
      <c r="AF417" s="30">
        <v>0</v>
      </c>
      <c r="AG417" s="30">
        <v>0</v>
      </c>
      <c r="AH417" s="30">
        <v>0</v>
      </c>
      <c r="AI417" s="30">
        <v>0</v>
      </c>
      <c r="AJ417" s="30">
        <v>0</v>
      </c>
      <c r="AK417" s="30">
        <v>0</v>
      </c>
      <c r="AL417" s="30">
        <v>0</v>
      </c>
      <c r="AM417" s="55">
        <f t="shared" ref="AM417:AM455" si="56">SUM(H417:AL417)</f>
        <v>0</v>
      </c>
      <c r="AN417" s="55">
        <f t="shared" ref="AN417:AN455" si="57">F417+G417-AM417</f>
        <v>0</v>
      </c>
      <c r="AO417" s="72"/>
      <c r="AP417" s="74" t="str">
        <f t="shared" ref="AP417:AP455" si="58">IF(AO417="","",IF($A$2&lt;=AO417,IF((AO417-$A$2)&lt;=90,"ALERTA","A TIEMPO"),"CADUCADO"))</f>
        <v/>
      </c>
      <c r="AQ417" s="74" t="str">
        <f t="shared" ref="AQ417:AQ455" si="59">IF(AO417="","",AO417-$A$2)</f>
        <v/>
      </c>
    </row>
    <row r="418" spans="1:43" ht="13.8" thickBot="1" x14ac:dyDescent="0.3">
      <c r="A418" s="68">
        <v>3</v>
      </c>
      <c r="B418" s="67" t="s">
        <v>211</v>
      </c>
      <c r="C418" s="66" t="s">
        <v>960</v>
      </c>
      <c r="D418" s="66" t="s">
        <v>198</v>
      </c>
      <c r="E418" s="69" t="s">
        <v>964</v>
      </c>
      <c r="F418" s="54"/>
      <c r="G418" s="54"/>
      <c r="H418" s="30">
        <v>0</v>
      </c>
      <c r="I418" s="30">
        <v>0</v>
      </c>
      <c r="J418" s="30">
        <v>0</v>
      </c>
      <c r="K418" s="30">
        <v>0</v>
      </c>
      <c r="L418" s="30">
        <v>0</v>
      </c>
      <c r="M418" s="30">
        <v>0</v>
      </c>
      <c r="N418" s="30">
        <v>0</v>
      </c>
      <c r="O418" s="30">
        <v>0</v>
      </c>
      <c r="P418" s="30">
        <v>0</v>
      </c>
      <c r="Q418" s="30">
        <v>0</v>
      </c>
      <c r="R418" s="30">
        <v>0</v>
      </c>
      <c r="S418" s="30">
        <v>0</v>
      </c>
      <c r="T418" s="30">
        <v>0</v>
      </c>
      <c r="U418" s="30">
        <v>0</v>
      </c>
      <c r="V418" s="30">
        <v>0</v>
      </c>
      <c r="W418" s="30">
        <v>0</v>
      </c>
      <c r="X418" s="30">
        <v>0</v>
      </c>
      <c r="Y418" s="30">
        <v>0</v>
      </c>
      <c r="Z418" s="30">
        <v>0</v>
      </c>
      <c r="AA418" s="30">
        <v>0</v>
      </c>
      <c r="AB418" s="30">
        <v>0</v>
      </c>
      <c r="AC418" s="30">
        <v>0</v>
      </c>
      <c r="AD418" s="30">
        <v>0</v>
      </c>
      <c r="AE418" s="30">
        <v>0</v>
      </c>
      <c r="AF418" s="30">
        <v>0</v>
      </c>
      <c r="AG418" s="30">
        <v>0</v>
      </c>
      <c r="AH418" s="30">
        <v>0</v>
      </c>
      <c r="AI418" s="30">
        <v>0</v>
      </c>
      <c r="AJ418" s="30">
        <v>0</v>
      </c>
      <c r="AK418" s="30">
        <v>0</v>
      </c>
      <c r="AL418" s="30">
        <v>0</v>
      </c>
      <c r="AM418" s="55">
        <f t="shared" si="56"/>
        <v>0</v>
      </c>
      <c r="AN418" s="55">
        <f t="shared" si="57"/>
        <v>0</v>
      </c>
      <c r="AO418" s="72"/>
      <c r="AP418" s="74" t="str">
        <f t="shared" si="58"/>
        <v/>
      </c>
      <c r="AQ418" s="74" t="str">
        <f t="shared" si="59"/>
        <v/>
      </c>
    </row>
    <row r="419" spans="1:43" ht="13.8" thickBot="1" x14ac:dyDescent="0.3">
      <c r="A419" s="68">
        <v>4</v>
      </c>
      <c r="B419" s="67" t="s">
        <v>985</v>
      </c>
      <c r="C419" s="66" t="s">
        <v>960</v>
      </c>
      <c r="D419" s="66" t="s">
        <v>198</v>
      </c>
      <c r="E419" s="70" t="s">
        <v>986</v>
      </c>
      <c r="F419" s="54"/>
      <c r="G419" s="54"/>
      <c r="H419" s="30">
        <v>0</v>
      </c>
      <c r="I419" s="30">
        <v>0</v>
      </c>
      <c r="J419" s="30">
        <v>0</v>
      </c>
      <c r="K419" s="30">
        <v>0</v>
      </c>
      <c r="L419" s="30">
        <v>0</v>
      </c>
      <c r="M419" s="30">
        <v>0</v>
      </c>
      <c r="N419" s="30">
        <v>0</v>
      </c>
      <c r="O419" s="30">
        <v>0</v>
      </c>
      <c r="P419" s="30">
        <v>0</v>
      </c>
      <c r="Q419" s="30">
        <v>0</v>
      </c>
      <c r="R419" s="30">
        <v>0</v>
      </c>
      <c r="S419" s="30">
        <v>0</v>
      </c>
      <c r="T419" s="30">
        <v>0</v>
      </c>
      <c r="U419" s="30">
        <v>0</v>
      </c>
      <c r="V419" s="30">
        <v>0</v>
      </c>
      <c r="W419" s="30">
        <v>0</v>
      </c>
      <c r="X419" s="30">
        <v>0</v>
      </c>
      <c r="Y419" s="30">
        <v>0</v>
      </c>
      <c r="Z419" s="30">
        <v>0</v>
      </c>
      <c r="AA419" s="30">
        <v>0</v>
      </c>
      <c r="AB419" s="30">
        <v>0</v>
      </c>
      <c r="AC419" s="30">
        <v>0</v>
      </c>
      <c r="AD419" s="30">
        <v>0</v>
      </c>
      <c r="AE419" s="30">
        <v>0</v>
      </c>
      <c r="AF419" s="30">
        <v>0</v>
      </c>
      <c r="AG419" s="30">
        <v>0</v>
      </c>
      <c r="AH419" s="30">
        <v>0</v>
      </c>
      <c r="AI419" s="30">
        <v>0</v>
      </c>
      <c r="AJ419" s="30">
        <v>0</v>
      </c>
      <c r="AK419" s="30">
        <v>0</v>
      </c>
      <c r="AL419" s="30">
        <v>0</v>
      </c>
      <c r="AM419" s="55">
        <f t="shared" si="56"/>
        <v>0</v>
      </c>
      <c r="AN419" s="55">
        <f t="shared" si="57"/>
        <v>0</v>
      </c>
      <c r="AO419" s="72"/>
      <c r="AP419" s="74" t="str">
        <f t="shared" si="58"/>
        <v/>
      </c>
      <c r="AQ419" s="74" t="str">
        <f t="shared" si="59"/>
        <v/>
      </c>
    </row>
    <row r="420" spans="1:43" ht="13.8" thickBot="1" x14ac:dyDescent="0.3">
      <c r="A420" s="68">
        <v>4</v>
      </c>
      <c r="B420" s="67" t="s">
        <v>963</v>
      </c>
      <c r="C420" s="66" t="s">
        <v>960</v>
      </c>
      <c r="D420" s="66" t="s">
        <v>213</v>
      </c>
      <c r="E420" s="70" t="s">
        <v>13</v>
      </c>
      <c r="F420" s="54"/>
      <c r="G420" s="54"/>
      <c r="H420" s="30">
        <v>0</v>
      </c>
      <c r="I420" s="30">
        <v>0</v>
      </c>
      <c r="J420" s="30">
        <v>0</v>
      </c>
      <c r="K420" s="30">
        <v>0</v>
      </c>
      <c r="L420" s="30">
        <v>0</v>
      </c>
      <c r="M420" s="30">
        <v>0</v>
      </c>
      <c r="N420" s="30">
        <v>0</v>
      </c>
      <c r="O420" s="30">
        <v>0</v>
      </c>
      <c r="P420" s="30">
        <v>0</v>
      </c>
      <c r="Q420" s="30">
        <v>0</v>
      </c>
      <c r="R420" s="30">
        <v>0</v>
      </c>
      <c r="S420" s="30">
        <v>0</v>
      </c>
      <c r="T420" s="30">
        <v>0</v>
      </c>
      <c r="U420" s="30">
        <v>0</v>
      </c>
      <c r="V420" s="30">
        <v>0</v>
      </c>
      <c r="W420" s="30">
        <v>0</v>
      </c>
      <c r="X420" s="30">
        <v>0</v>
      </c>
      <c r="Y420" s="30">
        <v>0</v>
      </c>
      <c r="Z420" s="30">
        <v>0</v>
      </c>
      <c r="AA420" s="30">
        <v>0</v>
      </c>
      <c r="AB420" s="30">
        <v>0</v>
      </c>
      <c r="AC420" s="30">
        <v>0</v>
      </c>
      <c r="AD420" s="30">
        <v>0</v>
      </c>
      <c r="AE420" s="30">
        <v>0</v>
      </c>
      <c r="AF420" s="30">
        <v>0</v>
      </c>
      <c r="AG420" s="30">
        <v>0</v>
      </c>
      <c r="AH420" s="30">
        <v>0</v>
      </c>
      <c r="AI420" s="30">
        <v>0</v>
      </c>
      <c r="AJ420" s="30">
        <v>0</v>
      </c>
      <c r="AK420" s="30">
        <v>0</v>
      </c>
      <c r="AL420" s="30">
        <v>0</v>
      </c>
      <c r="AM420" s="55">
        <f t="shared" si="56"/>
        <v>0</v>
      </c>
      <c r="AN420" s="55">
        <f t="shared" si="57"/>
        <v>0</v>
      </c>
      <c r="AO420" s="72"/>
      <c r="AP420" s="74" t="str">
        <f t="shared" si="58"/>
        <v/>
      </c>
      <c r="AQ420" s="74" t="str">
        <f t="shared" si="59"/>
        <v/>
      </c>
    </row>
    <row r="421" spans="1:43" ht="13.8" thickBot="1" x14ac:dyDescent="0.3">
      <c r="A421" s="68">
        <v>5</v>
      </c>
      <c r="B421" s="67" t="s">
        <v>228</v>
      </c>
      <c r="C421" s="66" t="s">
        <v>960</v>
      </c>
      <c r="D421" s="66" t="s">
        <v>213</v>
      </c>
      <c r="E421" s="69" t="s">
        <v>229</v>
      </c>
      <c r="F421" s="54"/>
      <c r="G421" s="54"/>
      <c r="H421" s="30">
        <v>0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0</v>
      </c>
      <c r="O421" s="30">
        <v>0</v>
      </c>
      <c r="P421" s="30">
        <v>0</v>
      </c>
      <c r="Q421" s="30">
        <v>0</v>
      </c>
      <c r="R421" s="30">
        <v>0</v>
      </c>
      <c r="S421" s="30">
        <v>0</v>
      </c>
      <c r="T421" s="30">
        <v>0</v>
      </c>
      <c r="U421" s="30">
        <v>0</v>
      </c>
      <c r="V421" s="30">
        <v>0</v>
      </c>
      <c r="W421" s="30">
        <v>0</v>
      </c>
      <c r="X421" s="30">
        <v>0</v>
      </c>
      <c r="Y421" s="30">
        <v>0</v>
      </c>
      <c r="Z421" s="30">
        <v>0</v>
      </c>
      <c r="AA421" s="30">
        <v>0</v>
      </c>
      <c r="AB421" s="30">
        <v>0</v>
      </c>
      <c r="AC421" s="30">
        <v>0</v>
      </c>
      <c r="AD421" s="30">
        <v>0</v>
      </c>
      <c r="AE421" s="30">
        <v>0</v>
      </c>
      <c r="AF421" s="30">
        <v>0</v>
      </c>
      <c r="AG421" s="30">
        <v>0</v>
      </c>
      <c r="AH421" s="30">
        <v>0</v>
      </c>
      <c r="AI421" s="30">
        <v>0</v>
      </c>
      <c r="AJ421" s="30">
        <v>0</v>
      </c>
      <c r="AK421" s="30">
        <v>0</v>
      </c>
      <c r="AL421" s="30">
        <v>0</v>
      </c>
      <c r="AM421" s="55">
        <f t="shared" si="56"/>
        <v>0</v>
      </c>
      <c r="AN421" s="55">
        <f t="shared" si="57"/>
        <v>0</v>
      </c>
      <c r="AO421" s="72"/>
      <c r="AP421" s="74" t="str">
        <f t="shared" si="58"/>
        <v/>
      </c>
      <c r="AQ421" s="74" t="str">
        <f t="shared" si="59"/>
        <v/>
      </c>
    </row>
    <row r="422" spans="1:43" ht="13.8" thickBot="1" x14ac:dyDescent="0.3">
      <c r="A422" s="68">
        <v>6</v>
      </c>
      <c r="B422" s="67" t="s">
        <v>968</v>
      </c>
      <c r="C422" s="66" t="s">
        <v>960</v>
      </c>
      <c r="D422" s="66" t="s">
        <v>198</v>
      </c>
      <c r="E422" s="69" t="s">
        <v>199</v>
      </c>
      <c r="F422" s="54"/>
      <c r="G422" s="54"/>
      <c r="H422" s="30">
        <v>0</v>
      </c>
      <c r="I422" s="30">
        <v>0</v>
      </c>
      <c r="J422" s="30">
        <v>0</v>
      </c>
      <c r="K422" s="30">
        <v>0</v>
      </c>
      <c r="L422" s="30">
        <v>0</v>
      </c>
      <c r="M422" s="30">
        <v>0</v>
      </c>
      <c r="N422" s="30">
        <v>0</v>
      </c>
      <c r="O422" s="30">
        <v>0</v>
      </c>
      <c r="P422" s="30">
        <v>0</v>
      </c>
      <c r="Q422" s="30">
        <v>0</v>
      </c>
      <c r="R422" s="30">
        <v>0</v>
      </c>
      <c r="S422" s="30">
        <v>0</v>
      </c>
      <c r="T422" s="30">
        <v>0</v>
      </c>
      <c r="U422" s="30">
        <v>0</v>
      </c>
      <c r="V422" s="30">
        <v>0</v>
      </c>
      <c r="W422" s="30">
        <v>0</v>
      </c>
      <c r="X422" s="30">
        <v>0</v>
      </c>
      <c r="Y422" s="30">
        <v>0</v>
      </c>
      <c r="Z422" s="30">
        <v>0</v>
      </c>
      <c r="AA422" s="30">
        <v>0</v>
      </c>
      <c r="AB422" s="30">
        <v>0</v>
      </c>
      <c r="AC422" s="30">
        <v>0</v>
      </c>
      <c r="AD422" s="30">
        <v>0</v>
      </c>
      <c r="AE422" s="30">
        <v>0</v>
      </c>
      <c r="AF422" s="30">
        <v>0</v>
      </c>
      <c r="AG422" s="30">
        <v>0</v>
      </c>
      <c r="AH422" s="30">
        <v>0</v>
      </c>
      <c r="AI422" s="30">
        <v>0</v>
      </c>
      <c r="AJ422" s="30">
        <v>0</v>
      </c>
      <c r="AK422" s="30">
        <v>0</v>
      </c>
      <c r="AL422" s="30">
        <v>0</v>
      </c>
      <c r="AM422" s="55">
        <f t="shared" si="56"/>
        <v>0</v>
      </c>
      <c r="AN422" s="55">
        <f t="shared" si="57"/>
        <v>0</v>
      </c>
      <c r="AO422" s="72"/>
      <c r="AP422" s="74" t="str">
        <f t="shared" si="58"/>
        <v/>
      </c>
      <c r="AQ422" s="74" t="str">
        <f t="shared" si="59"/>
        <v/>
      </c>
    </row>
    <row r="423" spans="1:43" ht="13.8" thickBot="1" x14ac:dyDescent="0.3">
      <c r="A423" s="68">
        <v>7</v>
      </c>
      <c r="B423" s="67" t="s">
        <v>220</v>
      </c>
      <c r="C423" s="66" t="s">
        <v>960</v>
      </c>
      <c r="D423" s="66" t="s">
        <v>198</v>
      </c>
      <c r="E423" s="69" t="s">
        <v>195</v>
      </c>
      <c r="F423" s="54"/>
      <c r="G423" s="54"/>
      <c r="H423" s="30">
        <v>0</v>
      </c>
      <c r="I423" s="30">
        <v>0</v>
      </c>
      <c r="J423" s="30">
        <v>0</v>
      </c>
      <c r="K423" s="30">
        <v>0</v>
      </c>
      <c r="L423" s="30">
        <v>0</v>
      </c>
      <c r="M423" s="30">
        <v>0</v>
      </c>
      <c r="N423" s="30">
        <v>0</v>
      </c>
      <c r="O423" s="30">
        <v>0</v>
      </c>
      <c r="P423" s="30">
        <v>0</v>
      </c>
      <c r="Q423" s="30">
        <v>0</v>
      </c>
      <c r="R423" s="30">
        <v>0</v>
      </c>
      <c r="S423" s="30">
        <v>0</v>
      </c>
      <c r="T423" s="30">
        <v>0</v>
      </c>
      <c r="U423" s="30">
        <v>0</v>
      </c>
      <c r="V423" s="30">
        <v>0</v>
      </c>
      <c r="W423" s="30">
        <v>0</v>
      </c>
      <c r="X423" s="30">
        <v>0</v>
      </c>
      <c r="Y423" s="30">
        <v>0</v>
      </c>
      <c r="Z423" s="30">
        <v>0</v>
      </c>
      <c r="AA423" s="30">
        <v>0</v>
      </c>
      <c r="AB423" s="30">
        <v>0</v>
      </c>
      <c r="AC423" s="30">
        <v>0</v>
      </c>
      <c r="AD423" s="30">
        <v>0</v>
      </c>
      <c r="AE423" s="30">
        <v>0</v>
      </c>
      <c r="AF423" s="30">
        <v>0</v>
      </c>
      <c r="AG423" s="30">
        <v>0</v>
      </c>
      <c r="AH423" s="30">
        <v>0</v>
      </c>
      <c r="AI423" s="30">
        <v>0</v>
      </c>
      <c r="AJ423" s="30">
        <v>0</v>
      </c>
      <c r="AK423" s="30">
        <v>0</v>
      </c>
      <c r="AL423" s="30">
        <v>0</v>
      </c>
      <c r="AM423" s="55">
        <f t="shared" si="56"/>
        <v>0</v>
      </c>
      <c r="AN423" s="55">
        <f t="shared" si="57"/>
        <v>0</v>
      </c>
      <c r="AO423" s="72"/>
      <c r="AP423" s="74" t="str">
        <f t="shared" si="58"/>
        <v/>
      </c>
      <c r="AQ423" s="74" t="str">
        <f t="shared" si="59"/>
        <v/>
      </c>
    </row>
    <row r="424" spans="1:43" ht="13.8" thickBot="1" x14ac:dyDescent="0.3">
      <c r="A424" s="68">
        <v>8</v>
      </c>
      <c r="B424" s="67" t="s">
        <v>962</v>
      </c>
      <c r="C424" s="66" t="s">
        <v>960</v>
      </c>
      <c r="D424" s="66" t="s">
        <v>198</v>
      </c>
      <c r="E424" s="69" t="s">
        <v>961</v>
      </c>
      <c r="F424" s="54"/>
      <c r="G424" s="54"/>
      <c r="H424" s="30">
        <v>0</v>
      </c>
      <c r="I424" s="30">
        <v>0</v>
      </c>
      <c r="J424" s="30">
        <v>0</v>
      </c>
      <c r="K424" s="30">
        <v>0</v>
      </c>
      <c r="L424" s="30">
        <v>0</v>
      </c>
      <c r="M424" s="30">
        <v>0</v>
      </c>
      <c r="N424" s="30">
        <v>0</v>
      </c>
      <c r="O424" s="30">
        <v>0</v>
      </c>
      <c r="P424" s="30">
        <v>0</v>
      </c>
      <c r="Q424" s="30">
        <v>0</v>
      </c>
      <c r="R424" s="30">
        <v>0</v>
      </c>
      <c r="S424" s="30">
        <v>0</v>
      </c>
      <c r="T424" s="30">
        <v>0</v>
      </c>
      <c r="U424" s="30">
        <v>0</v>
      </c>
      <c r="V424" s="30">
        <v>0</v>
      </c>
      <c r="W424" s="30">
        <v>0</v>
      </c>
      <c r="X424" s="30">
        <v>0</v>
      </c>
      <c r="Y424" s="30">
        <v>0</v>
      </c>
      <c r="Z424" s="30">
        <v>0</v>
      </c>
      <c r="AA424" s="30">
        <v>0</v>
      </c>
      <c r="AB424" s="30">
        <v>0</v>
      </c>
      <c r="AC424" s="30">
        <v>0</v>
      </c>
      <c r="AD424" s="30">
        <v>0</v>
      </c>
      <c r="AE424" s="30">
        <v>0</v>
      </c>
      <c r="AF424" s="30">
        <v>0</v>
      </c>
      <c r="AG424" s="30">
        <v>0</v>
      </c>
      <c r="AH424" s="30">
        <v>0</v>
      </c>
      <c r="AI424" s="30">
        <v>0</v>
      </c>
      <c r="AJ424" s="30">
        <v>0</v>
      </c>
      <c r="AK424" s="30">
        <v>0</v>
      </c>
      <c r="AL424" s="30">
        <v>0</v>
      </c>
      <c r="AM424" s="55">
        <f t="shared" si="56"/>
        <v>0</v>
      </c>
      <c r="AN424" s="55">
        <f t="shared" si="57"/>
        <v>0</v>
      </c>
      <c r="AO424" s="72"/>
      <c r="AP424" s="74" t="str">
        <f t="shared" si="58"/>
        <v/>
      </c>
      <c r="AQ424" s="74" t="str">
        <f t="shared" si="59"/>
        <v/>
      </c>
    </row>
    <row r="425" spans="1:43" ht="13.8" thickBot="1" x14ac:dyDescent="0.3">
      <c r="A425" s="68">
        <v>9</v>
      </c>
      <c r="B425" s="67" t="s">
        <v>966</v>
      </c>
      <c r="C425" s="66" t="s">
        <v>960</v>
      </c>
      <c r="D425" s="66" t="s">
        <v>201</v>
      </c>
      <c r="E425" s="69" t="s">
        <v>967</v>
      </c>
      <c r="F425" s="54"/>
      <c r="G425" s="54"/>
      <c r="H425" s="30">
        <v>0</v>
      </c>
      <c r="I425" s="30">
        <v>0</v>
      </c>
      <c r="J425" s="30">
        <v>0</v>
      </c>
      <c r="K425" s="30">
        <v>0</v>
      </c>
      <c r="L425" s="30">
        <v>0</v>
      </c>
      <c r="M425" s="30">
        <v>0</v>
      </c>
      <c r="N425" s="30">
        <v>0</v>
      </c>
      <c r="O425" s="30">
        <v>0</v>
      </c>
      <c r="P425" s="30">
        <v>0</v>
      </c>
      <c r="Q425" s="30">
        <v>0</v>
      </c>
      <c r="R425" s="30">
        <v>0</v>
      </c>
      <c r="S425" s="30">
        <v>0</v>
      </c>
      <c r="T425" s="30">
        <v>0</v>
      </c>
      <c r="U425" s="30">
        <v>0</v>
      </c>
      <c r="V425" s="30">
        <v>0</v>
      </c>
      <c r="W425" s="30">
        <v>0</v>
      </c>
      <c r="X425" s="30">
        <v>0</v>
      </c>
      <c r="Y425" s="30">
        <v>0</v>
      </c>
      <c r="Z425" s="30">
        <v>0</v>
      </c>
      <c r="AA425" s="30">
        <v>0</v>
      </c>
      <c r="AB425" s="30">
        <v>0</v>
      </c>
      <c r="AC425" s="30">
        <v>0</v>
      </c>
      <c r="AD425" s="30">
        <v>0</v>
      </c>
      <c r="AE425" s="30">
        <v>0</v>
      </c>
      <c r="AF425" s="30">
        <v>0</v>
      </c>
      <c r="AG425" s="30">
        <v>0</v>
      </c>
      <c r="AH425" s="30">
        <v>0</v>
      </c>
      <c r="AI425" s="30">
        <v>0</v>
      </c>
      <c r="AJ425" s="30">
        <v>0</v>
      </c>
      <c r="AK425" s="30">
        <v>0</v>
      </c>
      <c r="AL425" s="30">
        <v>0</v>
      </c>
      <c r="AM425" s="55">
        <f t="shared" si="56"/>
        <v>0</v>
      </c>
      <c r="AN425" s="55">
        <f t="shared" si="57"/>
        <v>0</v>
      </c>
      <c r="AO425" s="72"/>
      <c r="AP425" s="74" t="str">
        <f t="shared" si="58"/>
        <v/>
      </c>
      <c r="AQ425" s="74" t="str">
        <f t="shared" si="59"/>
        <v/>
      </c>
    </row>
    <row r="426" spans="1:43" ht="13.8" thickBot="1" x14ac:dyDescent="0.3">
      <c r="A426" s="68">
        <v>10</v>
      </c>
      <c r="B426" s="67" t="s">
        <v>194</v>
      </c>
      <c r="C426" s="66" t="s">
        <v>969</v>
      </c>
      <c r="D426" s="66" t="s">
        <v>198</v>
      </c>
      <c r="E426" s="69" t="s">
        <v>195</v>
      </c>
      <c r="F426" s="54"/>
      <c r="G426" s="54"/>
      <c r="H426" s="30">
        <v>0</v>
      </c>
      <c r="I426" s="30">
        <v>0</v>
      </c>
      <c r="J426" s="30">
        <v>0</v>
      </c>
      <c r="K426" s="30">
        <v>0</v>
      </c>
      <c r="L426" s="30">
        <v>0</v>
      </c>
      <c r="M426" s="30">
        <v>0</v>
      </c>
      <c r="N426" s="30">
        <v>0</v>
      </c>
      <c r="O426" s="30">
        <v>0</v>
      </c>
      <c r="P426" s="30">
        <v>0</v>
      </c>
      <c r="Q426" s="30">
        <v>0</v>
      </c>
      <c r="R426" s="30">
        <v>0</v>
      </c>
      <c r="S426" s="30">
        <v>0</v>
      </c>
      <c r="T426" s="30">
        <v>0</v>
      </c>
      <c r="U426" s="30">
        <v>0</v>
      </c>
      <c r="V426" s="30">
        <v>0</v>
      </c>
      <c r="W426" s="30">
        <v>0</v>
      </c>
      <c r="X426" s="30">
        <v>0</v>
      </c>
      <c r="Y426" s="30">
        <v>0</v>
      </c>
      <c r="Z426" s="30">
        <v>0</v>
      </c>
      <c r="AA426" s="30">
        <v>0</v>
      </c>
      <c r="AB426" s="30">
        <v>0</v>
      </c>
      <c r="AC426" s="30">
        <v>0</v>
      </c>
      <c r="AD426" s="30">
        <v>0</v>
      </c>
      <c r="AE426" s="30">
        <v>0</v>
      </c>
      <c r="AF426" s="30">
        <v>0</v>
      </c>
      <c r="AG426" s="30">
        <v>0</v>
      </c>
      <c r="AH426" s="30">
        <v>0</v>
      </c>
      <c r="AI426" s="30">
        <v>0</v>
      </c>
      <c r="AJ426" s="30">
        <v>0</v>
      </c>
      <c r="AK426" s="30">
        <v>0</v>
      </c>
      <c r="AL426" s="30">
        <v>0</v>
      </c>
      <c r="AM426" s="55">
        <f t="shared" si="56"/>
        <v>0</v>
      </c>
      <c r="AN426" s="55">
        <f t="shared" si="57"/>
        <v>0</v>
      </c>
      <c r="AO426" s="72"/>
      <c r="AP426" s="74" t="str">
        <f t="shared" si="58"/>
        <v/>
      </c>
      <c r="AQ426" s="74" t="str">
        <f t="shared" si="59"/>
        <v/>
      </c>
    </row>
    <row r="427" spans="1:43" ht="13.8" thickBot="1" x14ac:dyDescent="0.3">
      <c r="A427" s="68">
        <v>11</v>
      </c>
      <c r="B427" s="67" t="s">
        <v>200</v>
      </c>
      <c r="C427" s="66" t="s">
        <v>969</v>
      </c>
      <c r="D427" s="66" t="s">
        <v>198</v>
      </c>
      <c r="E427" s="69" t="s">
        <v>970</v>
      </c>
      <c r="F427" s="54"/>
      <c r="G427" s="54"/>
      <c r="H427" s="30">
        <v>0</v>
      </c>
      <c r="I427" s="30">
        <v>0</v>
      </c>
      <c r="J427" s="30">
        <v>0</v>
      </c>
      <c r="K427" s="30">
        <v>0</v>
      </c>
      <c r="L427" s="30">
        <v>0</v>
      </c>
      <c r="M427" s="30">
        <v>0</v>
      </c>
      <c r="N427" s="30">
        <v>0</v>
      </c>
      <c r="O427" s="30">
        <v>0</v>
      </c>
      <c r="P427" s="30">
        <v>0</v>
      </c>
      <c r="Q427" s="30">
        <v>0</v>
      </c>
      <c r="R427" s="30">
        <v>0</v>
      </c>
      <c r="S427" s="30">
        <v>0</v>
      </c>
      <c r="T427" s="30">
        <v>0</v>
      </c>
      <c r="U427" s="30">
        <v>0</v>
      </c>
      <c r="V427" s="30">
        <v>0</v>
      </c>
      <c r="W427" s="30">
        <v>0</v>
      </c>
      <c r="X427" s="30">
        <v>0</v>
      </c>
      <c r="Y427" s="30">
        <v>0</v>
      </c>
      <c r="Z427" s="30">
        <v>0</v>
      </c>
      <c r="AA427" s="30">
        <v>0</v>
      </c>
      <c r="AB427" s="30">
        <v>0</v>
      </c>
      <c r="AC427" s="30">
        <v>0</v>
      </c>
      <c r="AD427" s="30">
        <v>0</v>
      </c>
      <c r="AE427" s="30">
        <v>0</v>
      </c>
      <c r="AF427" s="30">
        <v>0</v>
      </c>
      <c r="AG427" s="30">
        <v>0</v>
      </c>
      <c r="AH427" s="30">
        <v>0</v>
      </c>
      <c r="AI427" s="30">
        <v>0</v>
      </c>
      <c r="AJ427" s="30">
        <v>0</v>
      </c>
      <c r="AK427" s="30">
        <v>0</v>
      </c>
      <c r="AL427" s="30">
        <v>0</v>
      </c>
      <c r="AM427" s="55">
        <f t="shared" si="56"/>
        <v>0</v>
      </c>
      <c r="AN427" s="55">
        <f t="shared" si="57"/>
        <v>0</v>
      </c>
      <c r="AO427" s="72"/>
      <c r="AP427" s="74" t="str">
        <f t="shared" si="58"/>
        <v/>
      </c>
      <c r="AQ427" s="74" t="str">
        <f t="shared" si="59"/>
        <v/>
      </c>
    </row>
    <row r="428" spans="1:43" ht="13.8" thickBot="1" x14ac:dyDescent="0.3">
      <c r="A428" s="68">
        <v>12</v>
      </c>
      <c r="B428" s="67" t="s">
        <v>972</v>
      </c>
      <c r="C428" s="69" t="s">
        <v>971</v>
      </c>
      <c r="D428" s="66" t="s">
        <v>213</v>
      </c>
      <c r="E428" s="69" t="s">
        <v>203</v>
      </c>
      <c r="F428" s="54"/>
      <c r="G428" s="54"/>
      <c r="H428" s="30">
        <v>0</v>
      </c>
      <c r="I428" s="30">
        <v>0</v>
      </c>
      <c r="J428" s="30">
        <v>0</v>
      </c>
      <c r="K428" s="30">
        <v>0</v>
      </c>
      <c r="L428" s="30">
        <v>0</v>
      </c>
      <c r="M428" s="30">
        <v>0</v>
      </c>
      <c r="N428" s="30">
        <v>0</v>
      </c>
      <c r="O428" s="30">
        <v>0</v>
      </c>
      <c r="P428" s="30">
        <v>0</v>
      </c>
      <c r="Q428" s="30">
        <v>0</v>
      </c>
      <c r="R428" s="30">
        <v>0</v>
      </c>
      <c r="S428" s="30">
        <v>0</v>
      </c>
      <c r="T428" s="30">
        <v>0</v>
      </c>
      <c r="U428" s="30">
        <v>0</v>
      </c>
      <c r="V428" s="30">
        <v>0</v>
      </c>
      <c r="W428" s="30">
        <v>0</v>
      </c>
      <c r="X428" s="30">
        <v>0</v>
      </c>
      <c r="Y428" s="30">
        <v>0</v>
      </c>
      <c r="Z428" s="30">
        <v>0</v>
      </c>
      <c r="AA428" s="30">
        <v>0</v>
      </c>
      <c r="AB428" s="30">
        <v>0</v>
      </c>
      <c r="AC428" s="30">
        <v>0</v>
      </c>
      <c r="AD428" s="30">
        <v>0</v>
      </c>
      <c r="AE428" s="30">
        <v>0</v>
      </c>
      <c r="AF428" s="30">
        <v>0</v>
      </c>
      <c r="AG428" s="30">
        <v>0</v>
      </c>
      <c r="AH428" s="30">
        <v>0</v>
      </c>
      <c r="AI428" s="30">
        <v>0</v>
      </c>
      <c r="AJ428" s="30">
        <v>0</v>
      </c>
      <c r="AK428" s="30">
        <v>0</v>
      </c>
      <c r="AL428" s="30">
        <v>0</v>
      </c>
      <c r="AM428" s="55">
        <f t="shared" si="56"/>
        <v>0</v>
      </c>
      <c r="AN428" s="55">
        <f t="shared" si="57"/>
        <v>0</v>
      </c>
      <c r="AO428" s="72"/>
      <c r="AP428" s="74" t="str">
        <f t="shared" si="58"/>
        <v/>
      </c>
      <c r="AQ428" s="74" t="str">
        <f t="shared" si="59"/>
        <v/>
      </c>
    </row>
    <row r="429" spans="1:43" ht="13.8" thickBot="1" x14ac:dyDescent="0.3">
      <c r="A429" s="68">
        <v>13</v>
      </c>
      <c r="B429" s="67" t="s">
        <v>212</v>
      </c>
      <c r="C429" s="69" t="s">
        <v>971</v>
      </c>
      <c r="D429" s="66" t="s">
        <v>213</v>
      </c>
      <c r="E429" s="69" t="s">
        <v>203</v>
      </c>
      <c r="F429" s="54"/>
      <c r="G429" s="54"/>
      <c r="H429" s="30">
        <v>0</v>
      </c>
      <c r="I429" s="30">
        <v>0</v>
      </c>
      <c r="J429" s="30">
        <v>0</v>
      </c>
      <c r="K429" s="30">
        <v>0</v>
      </c>
      <c r="L429" s="30">
        <v>0</v>
      </c>
      <c r="M429" s="30">
        <v>0</v>
      </c>
      <c r="N429" s="30">
        <v>0</v>
      </c>
      <c r="O429" s="30">
        <v>0</v>
      </c>
      <c r="P429" s="30">
        <v>0</v>
      </c>
      <c r="Q429" s="30">
        <v>0</v>
      </c>
      <c r="R429" s="30">
        <v>0</v>
      </c>
      <c r="S429" s="30">
        <v>0</v>
      </c>
      <c r="T429" s="30">
        <v>0</v>
      </c>
      <c r="U429" s="30">
        <v>0</v>
      </c>
      <c r="V429" s="30">
        <v>0</v>
      </c>
      <c r="W429" s="30">
        <v>0</v>
      </c>
      <c r="X429" s="30">
        <v>0</v>
      </c>
      <c r="Y429" s="30">
        <v>0</v>
      </c>
      <c r="Z429" s="30">
        <v>0</v>
      </c>
      <c r="AA429" s="30">
        <v>0</v>
      </c>
      <c r="AB429" s="30">
        <v>0</v>
      </c>
      <c r="AC429" s="30">
        <v>0</v>
      </c>
      <c r="AD429" s="30">
        <v>0</v>
      </c>
      <c r="AE429" s="30">
        <v>0</v>
      </c>
      <c r="AF429" s="30">
        <v>0</v>
      </c>
      <c r="AG429" s="30">
        <v>0</v>
      </c>
      <c r="AH429" s="30">
        <v>0</v>
      </c>
      <c r="AI429" s="30">
        <v>0</v>
      </c>
      <c r="AJ429" s="30">
        <v>0</v>
      </c>
      <c r="AK429" s="30">
        <v>0</v>
      </c>
      <c r="AL429" s="30">
        <v>0</v>
      </c>
      <c r="AM429" s="55">
        <f t="shared" si="56"/>
        <v>0</v>
      </c>
      <c r="AN429" s="55">
        <f t="shared" si="57"/>
        <v>0</v>
      </c>
      <c r="AO429" s="72"/>
      <c r="AP429" s="74" t="str">
        <f t="shared" si="58"/>
        <v/>
      </c>
      <c r="AQ429" s="74" t="str">
        <f t="shared" si="59"/>
        <v/>
      </c>
    </row>
    <row r="430" spans="1:43" ht="13.8" thickBot="1" x14ac:dyDescent="0.3">
      <c r="A430" s="68">
        <v>14</v>
      </c>
      <c r="B430" s="67" t="s">
        <v>204</v>
      </c>
      <c r="C430" s="69" t="s">
        <v>46</v>
      </c>
      <c r="D430" s="66" t="s">
        <v>198</v>
      </c>
      <c r="E430" s="70" t="s">
        <v>13</v>
      </c>
      <c r="F430" s="54"/>
      <c r="G430" s="54"/>
      <c r="H430" s="30">
        <v>0</v>
      </c>
      <c r="I430" s="30">
        <v>0</v>
      </c>
      <c r="J430" s="30">
        <v>0</v>
      </c>
      <c r="K430" s="30">
        <v>0</v>
      </c>
      <c r="L430" s="30">
        <v>0</v>
      </c>
      <c r="M430" s="30">
        <v>0</v>
      </c>
      <c r="N430" s="30">
        <v>0</v>
      </c>
      <c r="O430" s="30">
        <v>0</v>
      </c>
      <c r="P430" s="30">
        <v>0</v>
      </c>
      <c r="Q430" s="30">
        <v>0</v>
      </c>
      <c r="R430" s="30">
        <v>0</v>
      </c>
      <c r="S430" s="30">
        <v>0</v>
      </c>
      <c r="T430" s="30">
        <v>0</v>
      </c>
      <c r="U430" s="30">
        <v>0</v>
      </c>
      <c r="V430" s="30">
        <v>0</v>
      </c>
      <c r="W430" s="30">
        <v>0</v>
      </c>
      <c r="X430" s="30">
        <v>0</v>
      </c>
      <c r="Y430" s="30">
        <v>0</v>
      </c>
      <c r="Z430" s="30">
        <v>0</v>
      </c>
      <c r="AA430" s="30">
        <v>0</v>
      </c>
      <c r="AB430" s="30">
        <v>0</v>
      </c>
      <c r="AC430" s="30">
        <v>0</v>
      </c>
      <c r="AD430" s="30">
        <v>0</v>
      </c>
      <c r="AE430" s="30">
        <v>0</v>
      </c>
      <c r="AF430" s="30">
        <v>0</v>
      </c>
      <c r="AG430" s="30">
        <v>0</v>
      </c>
      <c r="AH430" s="30">
        <v>0</v>
      </c>
      <c r="AI430" s="30">
        <v>0</v>
      </c>
      <c r="AJ430" s="30">
        <v>0</v>
      </c>
      <c r="AK430" s="30">
        <v>0</v>
      </c>
      <c r="AL430" s="30">
        <v>0</v>
      </c>
      <c r="AM430" s="55">
        <f t="shared" si="56"/>
        <v>0</v>
      </c>
      <c r="AN430" s="55">
        <f t="shared" si="57"/>
        <v>0</v>
      </c>
      <c r="AO430" s="72"/>
      <c r="AP430" s="74" t="str">
        <f t="shared" si="58"/>
        <v/>
      </c>
      <c r="AQ430" s="74" t="str">
        <f t="shared" si="59"/>
        <v/>
      </c>
    </row>
    <row r="431" spans="1:43" ht="13.8" thickBot="1" x14ac:dyDescent="0.3">
      <c r="A431" s="68">
        <v>15</v>
      </c>
      <c r="B431" s="67" t="s">
        <v>973</v>
      </c>
      <c r="C431" s="69" t="s">
        <v>46</v>
      </c>
      <c r="D431" s="66" t="s">
        <v>201</v>
      </c>
      <c r="E431" s="69" t="s">
        <v>203</v>
      </c>
      <c r="F431" s="54"/>
      <c r="G431" s="54"/>
      <c r="H431" s="30">
        <v>0</v>
      </c>
      <c r="I431" s="30">
        <v>0</v>
      </c>
      <c r="J431" s="30">
        <v>0</v>
      </c>
      <c r="K431" s="30">
        <v>0</v>
      </c>
      <c r="L431" s="30">
        <v>0</v>
      </c>
      <c r="M431" s="30">
        <v>0</v>
      </c>
      <c r="N431" s="30">
        <v>0</v>
      </c>
      <c r="O431" s="30">
        <v>0</v>
      </c>
      <c r="P431" s="30">
        <v>0</v>
      </c>
      <c r="Q431" s="30">
        <v>0</v>
      </c>
      <c r="R431" s="30">
        <v>0</v>
      </c>
      <c r="S431" s="30">
        <v>0</v>
      </c>
      <c r="T431" s="30">
        <v>0</v>
      </c>
      <c r="U431" s="30">
        <v>0</v>
      </c>
      <c r="V431" s="30">
        <v>0</v>
      </c>
      <c r="W431" s="30">
        <v>0</v>
      </c>
      <c r="X431" s="30">
        <v>0</v>
      </c>
      <c r="Y431" s="30">
        <v>0</v>
      </c>
      <c r="Z431" s="30">
        <v>0</v>
      </c>
      <c r="AA431" s="30">
        <v>0</v>
      </c>
      <c r="AB431" s="30">
        <v>0</v>
      </c>
      <c r="AC431" s="30">
        <v>0</v>
      </c>
      <c r="AD431" s="30">
        <v>0</v>
      </c>
      <c r="AE431" s="30">
        <v>0</v>
      </c>
      <c r="AF431" s="30">
        <v>0</v>
      </c>
      <c r="AG431" s="30">
        <v>0</v>
      </c>
      <c r="AH431" s="30">
        <v>0</v>
      </c>
      <c r="AI431" s="30">
        <v>0</v>
      </c>
      <c r="AJ431" s="30">
        <v>0</v>
      </c>
      <c r="AK431" s="30">
        <v>0</v>
      </c>
      <c r="AL431" s="30">
        <v>0</v>
      </c>
      <c r="AM431" s="55">
        <f t="shared" si="56"/>
        <v>0</v>
      </c>
      <c r="AN431" s="55">
        <f t="shared" si="57"/>
        <v>0</v>
      </c>
      <c r="AO431" s="72"/>
      <c r="AP431" s="74" t="str">
        <f t="shared" si="58"/>
        <v/>
      </c>
      <c r="AQ431" s="74" t="str">
        <f t="shared" si="59"/>
        <v/>
      </c>
    </row>
    <row r="432" spans="1:43" ht="13.8" thickBot="1" x14ac:dyDescent="0.3">
      <c r="A432" s="68">
        <v>16</v>
      </c>
      <c r="B432" s="67" t="s">
        <v>218</v>
      </c>
      <c r="C432" s="69" t="s">
        <v>46</v>
      </c>
      <c r="D432" s="66" t="s">
        <v>198</v>
      </c>
      <c r="E432" s="69" t="s">
        <v>975</v>
      </c>
      <c r="F432" s="54"/>
      <c r="G432" s="54"/>
      <c r="H432" s="30">
        <v>0</v>
      </c>
      <c r="I432" s="30">
        <v>0</v>
      </c>
      <c r="J432" s="30">
        <v>0</v>
      </c>
      <c r="K432" s="30">
        <v>0</v>
      </c>
      <c r="L432" s="30">
        <v>0</v>
      </c>
      <c r="M432" s="30">
        <v>0</v>
      </c>
      <c r="N432" s="30">
        <v>0</v>
      </c>
      <c r="O432" s="30">
        <v>0</v>
      </c>
      <c r="P432" s="30">
        <v>0</v>
      </c>
      <c r="Q432" s="30">
        <v>0</v>
      </c>
      <c r="R432" s="30">
        <v>0</v>
      </c>
      <c r="S432" s="30">
        <v>0</v>
      </c>
      <c r="T432" s="30">
        <v>0</v>
      </c>
      <c r="U432" s="30">
        <v>0</v>
      </c>
      <c r="V432" s="30">
        <v>0</v>
      </c>
      <c r="W432" s="30">
        <v>0</v>
      </c>
      <c r="X432" s="30">
        <v>0</v>
      </c>
      <c r="Y432" s="30">
        <v>0</v>
      </c>
      <c r="Z432" s="30">
        <v>0</v>
      </c>
      <c r="AA432" s="30">
        <v>0</v>
      </c>
      <c r="AB432" s="30">
        <v>0</v>
      </c>
      <c r="AC432" s="30">
        <v>0</v>
      </c>
      <c r="AD432" s="30">
        <v>0</v>
      </c>
      <c r="AE432" s="30">
        <v>0</v>
      </c>
      <c r="AF432" s="30">
        <v>0</v>
      </c>
      <c r="AG432" s="30">
        <v>0</v>
      </c>
      <c r="AH432" s="30">
        <v>0</v>
      </c>
      <c r="AI432" s="30">
        <v>0</v>
      </c>
      <c r="AJ432" s="30">
        <v>0</v>
      </c>
      <c r="AK432" s="30">
        <v>0</v>
      </c>
      <c r="AL432" s="30">
        <v>0</v>
      </c>
      <c r="AM432" s="55">
        <f t="shared" si="56"/>
        <v>0</v>
      </c>
      <c r="AN432" s="55">
        <f t="shared" si="57"/>
        <v>0</v>
      </c>
      <c r="AO432" s="72"/>
      <c r="AP432" s="74" t="str">
        <f t="shared" si="58"/>
        <v/>
      </c>
      <c r="AQ432" s="74" t="str">
        <f t="shared" si="59"/>
        <v/>
      </c>
    </row>
    <row r="433" spans="1:43" ht="13.8" thickBot="1" x14ac:dyDescent="0.3">
      <c r="A433" s="68">
        <v>17</v>
      </c>
      <c r="B433" s="67" t="s">
        <v>974</v>
      </c>
      <c r="C433" s="69" t="s">
        <v>46</v>
      </c>
      <c r="D433" s="66" t="s">
        <v>210</v>
      </c>
      <c r="E433" s="70" t="s">
        <v>13</v>
      </c>
      <c r="F433" s="54"/>
      <c r="G433" s="54"/>
      <c r="H433" s="30">
        <v>0</v>
      </c>
      <c r="I433" s="30">
        <v>0</v>
      </c>
      <c r="J433" s="30">
        <v>0</v>
      </c>
      <c r="K433" s="30">
        <v>0</v>
      </c>
      <c r="L433" s="30">
        <v>0</v>
      </c>
      <c r="M433" s="30">
        <v>0</v>
      </c>
      <c r="N433" s="30">
        <v>0</v>
      </c>
      <c r="O433" s="30">
        <v>0</v>
      </c>
      <c r="P433" s="30">
        <v>0</v>
      </c>
      <c r="Q433" s="30">
        <v>0</v>
      </c>
      <c r="R433" s="30">
        <v>0</v>
      </c>
      <c r="S433" s="30">
        <v>0</v>
      </c>
      <c r="T433" s="30">
        <v>0</v>
      </c>
      <c r="U433" s="30">
        <v>0</v>
      </c>
      <c r="V433" s="30">
        <v>0</v>
      </c>
      <c r="W433" s="30">
        <v>0</v>
      </c>
      <c r="X433" s="30">
        <v>0</v>
      </c>
      <c r="Y433" s="30">
        <v>0</v>
      </c>
      <c r="Z433" s="30">
        <v>0</v>
      </c>
      <c r="AA433" s="30">
        <v>0</v>
      </c>
      <c r="AB433" s="30">
        <v>0</v>
      </c>
      <c r="AC433" s="30">
        <v>0</v>
      </c>
      <c r="AD433" s="30">
        <v>0</v>
      </c>
      <c r="AE433" s="30">
        <v>0</v>
      </c>
      <c r="AF433" s="30">
        <v>0</v>
      </c>
      <c r="AG433" s="30">
        <v>0</v>
      </c>
      <c r="AH433" s="30">
        <v>0</v>
      </c>
      <c r="AI433" s="30">
        <v>0</v>
      </c>
      <c r="AJ433" s="30">
        <v>0</v>
      </c>
      <c r="AK433" s="30">
        <v>0</v>
      </c>
      <c r="AL433" s="30">
        <v>0</v>
      </c>
      <c r="AM433" s="55">
        <f t="shared" si="56"/>
        <v>0</v>
      </c>
      <c r="AN433" s="55">
        <f t="shared" si="57"/>
        <v>0</v>
      </c>
      <c r="AO433" s="72"/>
      <c r="AP433" s="74" t="str">
        <f t="shared" si="58"/>
        <v/>
      </c>
      <c r="AQ433" s="74" t="str">
        <f t="shared" si="59"/>
        <v/>
      </c>
    </row>
    <row r="434" spans="1:43" ht="13.8" thickBot="1" x14ac:dyDescent="0.3">
      <c r="A434" s="68">
        <v>18</v>
      </c>
      <c r="B434" s="67" t="s">
        <v>221</v>
      </c>
      <c r="C434" s="69" t="s">
        <v>46</v>
      </c>
      <c r="D434" s="66" t="s">
        <v>976</v>
      </c>
      <c r="E434" s="70" t="s">
        <v>13</v>
      </c>
      <c r="F434" s="54"/>
      <c r="G434" s="54"/>
      <c r="H434" s="30">
        <v>0</v>
      </c>
      <c r="I434" s="30">
        <v>0</v>
      </c>
      <c r="J434" s="30">
        <v>0</v>
      </c>
      <c r="K434" s="30">
        <v>0</v>
      </c>
      <c r="L434" s="30">
        <v>0</v>
      </c>
      <c r="M434" s="30">
        <v>0</v>
      </c>
      <c r="N434" s="30">
        <v>0</v>
      </c>
      <c r="O434" s="30">
        <v>0</v>
      </c>
      <c r="P434" s="30">
        <v>0</v>
      </c>
      <c r="Q434" s="30">
        <v>0</v>
      </c>
      <c r="R434" s="30">
        <v>0</v>
      </c>
      <c r="S434" s="30">
        <v>0</v>
      </c>
      <c r="T434" s="30">
        <v>0</v>
      </c>
      <c r="U434" s="30">
        <v>0</v>
      </c>
      <c r="V434" s="30">
        <v>0</v>
      </c>
      <c r="W434" s="30">
        <v>0</v>
      </c>
      <c r="X434" s="30">
        <v>0</v>
      </c>
      <c r="Y434" s="30">
        <v>0</v>
      </c>
      <c r="Z434" s="30">
        <v>0</v>
      </c>
      <c r="AA434" s="30">
        <v>0</v>
      </c>
      <c r="AB434" s="30">
        <v>0</v>
      </c>
      <c r="AC434" s="30">
        <v>0</v>
      </c>
      <c r="AD434" s="30">
        <v>0</v>
      </c>
      <c r="AE434" s="30">
        <v>0</v>
      </c>
      <c r="AF434" s="30">
        <v>0</v>
      </c>
      <c r="AG434" s="30">
        <v>0</v>
      </c>
      <c r="AH434" s="30">
        <v>0</v>
      </c>
      <c r="AI434" s="30">
        <v>0</v>
      </c>
      <c r="AJ434" s="30">
        <v>0</v>
      </c>
      <c r="AK434" s="30">
        <v>0</v>
      </c>
      <c r="AL434" s="30">
        <v>0</v>
      </c>
      <c r="AM434" s="55">
        <f t="shared" si="56"/>
        <v>0</v>
      </c>
      <c r="AN434" s="55">
        <f t="shared" si="57"/>
        <v>0</v>
      </c>
      <c r="AO434" s="72"/>
      <c r="AP434" s="74" t="str">
        <f t="shared" si="58"/>
        <v/>
      </c>
      <c r="AQ434" s="74" t="str">
        <f t="shared" si="59"/>
        <v/>
      </c>
    </row>
    <row r="435" spans="1:43" ht="13.8" thickBot="1" x14ac:dyDescent="0.3">
      <c r="A435" s="68">
        <v>19</v>
      </c>
      <c r="B435" s="67" t="s">
        <v>223</v>
      </c>
      <c r="C435" s="69" t="s">
        <v>977</v>
      </c>
      <c r="D435" s="66" t="s">
        <v>224</v>
      </c>
      <c r="E435" s="69" t="s">
        <v>978</v>
      </c>
      <c r="F435" s="54"/>
      <c r="G435" s="54"/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0</v>
      </c>
      <c r="R435" s="30">
        <v>0</v>
      </c>
      <c r="S435" s="30">
        <v>0</v>
      </c>
      <c r="T435" s="30">
        <v>0</v>
      </c>
      <c r="U435" s="30">
        <v>0</v>
      </c>
      <c r="V435" s="30">
        <v>0</v>
      </c>
      <c r="W435" s="30">
        <v>0</v>
      </c>
      <c r="X435" s="30">
        <v>0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  <c r="AD435" s="30">
        <v>0</v>
      </c>
      <c r="AE435" s="30">
        <v>0</v>
      </c>
      <c r="AF435" s="30">
        <v>0</v>
      </c>
      <c r="AG435" s="30">
        <v>0</v>
      </c>
      <c r="AH435" s="30">
        <v>0</v>
      </c>
      <c r="AI435" s="30">
        <v>0</v>
      </c>
      <c r="AJ435" s="30">
        <v>0</v>
      </c>
      <c r="AK435" s="30">
        <v>0</v>
      </c>
      <c r="AL435" s="30">
        <v>0</v>
      </c>
      <c r="AM435" s="55">
        <f t="shared" si="56"/>
        <v>0</v>
      </c>
      <c r="AN435" s="55">
        <f t="shared" si="57"/>
        <v>0</v>
      </c>
      <c r="AO435" s="72"/>
      <c r="AP435" s="74" t="str">
        <f t="shared" si="58"/>
        <v/>
      </c>
      <c r="AQ435" s="74" t="str">
        <f t="shared" si="59"/>
        <v/>
      </c>
    </row>
    <row r="436" spans="1:43" ht="13.8" thickBot="1" x14ac:dyDescent="0.3">
      <c r="A436" s="68">
        <v>20</v>
      </c>
      <c r="B436" s="67" t="s">
        <v>205</v>
      </c>
      <c r="C436" s="69" t="s">
        <v>979</v>
      </c>
      <c r="D436" s="66" t="s">
        <v>201</v>
      </c>
      <c r="E436" s="70" t="s">
        <v>13</v>
      </c>
      <c r="F436" s="54"/>
      <c r="G436" s="54"/>
      <c r="H436" s="30">
        <v>0</v>
      </c>
      <c r="I436" s="30">
        <v>0</v>
      </c>
      <c r="J436" s="30">
        <v>0</v>
      </c>
      <c r="K436" s="30">
        <v>0</v>
      </c>
      <c r="L436" s="30">
        <v>0</v>
      </c>
      <c r="M436" s="30">
        <v>0</v>
      </c>
      <c r="N436" s="30">
        <v>0</v>
      </c>
      <c r="O436" s="30">
        <v>0</v>
      </c>
      <c r="P436" s="30">
        <v>0</v>
      </c>
      <c r="Q436" s="30">
        <v>0</v>
      </c>
      <c r="R436" s="30">
        <v>0</v>
      </c>
      <c r="S436" s="30">
        <v>0</v>
      </c>
      <c r="T436" s="30">
        <v>0</v>
      </c>
      <c r="U436" s="30">
        <v>0</v>
      </c>
      <c r="V436" s="30">
        <v>0</v>
      </c>
      <c r="W436" s="30">
        <v>0</v>
      </c>
      <c r="X436" s="30">
        <v>0</v>
      </c>
      <c r="Y436" s="30">
        <v>0</v>
      </c>
      <c r="Z436" s="30">
        <v>0</v>
      </c>
      <c r="AA436" s="30">
        <v>0</v>
      </c>
      <c r="AB436" s="30">
        <v>0</v>
      </c>
      <c r="AC436" s="30">
        <v>0</v>
      </c>
      <c r="AD436" s="30">
        <v>0</v>
      </c>
      <c r="AE436" s="30">
        <v>0</v>
      </c>
      <c r="AF436" s="30">
        <v>0</v>
      </c>
      <c r="AG436" s="30">
        <v>0</v>
      </c>
      <c r="AH436" s="30">
        <v>0</v>
      </c>
      <c r="AI436" s="30">
        <v>0</v>
      </c>
      <c r="AJ436" s="30">
        <v>0</v>
      </c>
      <c r="AK436" s="30">
        <v>0</v>
      </c>
      <c r="AL436" s="30">
        <v>0</v>
      </c>
      <c r="AM436" s="55">
        <f t="shared" si="56"/>
        <v>0</v>
      </c>
      <c r="AN436" s="55">
        <f t="shared" si="57"/>
        <v>0</v>
      </c>
      <c r="AO436" s="72"/>
      <c r="AP436" s="74" t="str">
        <f t="shared" si="58"/>
        <v/>
      </c>
      <c r="AQ436" s="74" t="str">
        <f t="shared" si="59"/>
        <v/>
      </c>
    </row>
    <row r="437" spans="1:43" ht="13.8" thickBot="1" x14ac:dyDescent="0.3">
      <c r="A437" s="68">
        <v>21</v>
      </c>
      <c r="B437" s="67" t="s">
        <v>209</v>
      </c>
      <c r="C437" s="69" t="s">
        <v>979</v>
      </c>
      <c r="D437" s="66" t="s">
        <v>210</v>
      </c>
      <c r="E437" s="70" t="s">
        <v>13</v>
      </c>
      <c r="F437" s="54"/>
      <c r="G437" s="54"/>
      <c r="H437" s="30">
        <v>0</v>
      </c>
      <c r="I437" s="30">
        <v>0</v>
      </c>
      <c r="J437" s="30">
        <v>0</v>
      </c>
      <c r="K437" s="30">
        <v>0</v>
      </c>
      <c r="L437" s="30">
        <v>0</v>
      </c>
      <c r="M437" s="30">
        <v>0</v>
      </c>
      <c r="N437" s="30">
        <v>0</v>
      </c>
      <c r="O437" s="30">
        <v>0</v>
      </c>
      <c r="P437" s="30">
        <v>0</v>
      </c>
      <c r="Q437" s="30">
        <v>0</v>
      </c>
      <c r="R437" s="30">
        <v>0</v>
      </c>
      <c r="S437" s="30">
        <v>0</v>
      </c>
      <c r="T437" s="30">
        <v>0</v>
      </c>
      <c r="U437" s="30">
        <v>0</v>
      </c>
      <c r="V437" s="30">
        <v>0</v>
      </c>
      <c r="W437" s="30">
        <v>0</v>
      </c>
      <c r="X437" s="30">
        <v>0</v>
      </c>
      <c r="Y437" s="30">
        <v>0</v>
      </c>
      <c r="Z437" s="30">
        <v>0</v>
      </c>
      <c r="AA437" s="30">
        <v>0</v>
      </c>
      <c r="AB437" s="30">
        <v>0</v>
      </c>
      <c r="AC437" s="30">
        <v>0</v>
      </c>
      <c r="AD437" s="30">
        <v>0</v>
      </c>
      <c r="AE437" s="30">
        <v>0</v>
      </c>
      <c r="AF437" s="30">
        <v>0</v>
      </c>
      <c r="AG437" s="30">
        <v>0</v>
      </c>
      <c r="AH437" s="30">
        <v>0</v>
      </c>
      <c r="AI437" s="30">
        <v>0</v>
      </c>
      <c r="AJ437" s="30">
        <v>0</v>
      </c>
      <c r="AK437" s="30">
        <v>0</v>
      </c>
      <c r="AL437" s="30">
        <v>0</v>
      </c>
      <c r="AM437" s="55">
        <f t="shared" si="56"/>
        <v>0</v>
      </c>
      <c r="AN437" s="55">
        <f t="shared" si="57"/>
        <v>0</v>
      </c>
      <c r="AO437" s="72"/>
      <c r="AP437" s="74" t="str">
        <f t="shared" si="58"/>
        <v/>
      </c>
      <c r="AQ437" s="74" t="str">
        <f t="shared" si="59"/>
        <v/>
      </c>
    </row>
    <row r="438" spans="1:43" ht="13.8" thickBot="1" x14ac:dyDescent="0.3">
      <c r="A438" s="68">
        <v>22</v>
      </c>
      <c r="B438" s="67" t="s">
        <v>207</v>
      </c>
      <c r="C438" s="69" t="s">
        <v>980</v>
      </c>
      <c r="D438" s="66" t="s">
        <v>201</v>
      </c>
      <c r="E438" s="69" t="s">
        <v>208</v>
      </c>
      <c r="F438" s="54"/>
      <c r="G438" s="54"/>
      <c r="H438" s="30">
        <v>0</v>
      </c>
      <c r="I438" s="30">
        <v>0</v>
      </c>
      <c r="J438" s="30">
        <v>0</v>
      </c>
      <c r="K438" s="30">
        <v>0</v>
      </c>
      <c r="L438" s="30">
        <v>0</v>
      </c>
      <c r="M438" s="30">
        <v>0</v>
      </c>
      <c r="N438" s="30">
        <v>0</v>
      </c>
      <c r="O438" s="30">
        <v>0</v>
      </c>
      <c r="P438" s="30">
        <v>0</v>
      </c>
      <c r="Q438" s="30">
        <v>0</v>
      </c>
      <c r="R438" s="30">
        <v>0</v>
      </c>
      <c r="S438" s="30">
        <v>0</v>
      </c>
      <c r="T438" s="30">
        <v>0</v>
      </c>
      <c r="U438" s="30">
        <v>0</v>
      </c>
      <c r="V438" s="30">
        <v>0</v>
      </c>
      <c r="W438" s="30">
        <v>0</v>
      </c>
      <c r="X438" s="30">
        <v>0</v>
      </c>
      <c r="Y438" s="30">
        <v>0</v>
      </c>
      <c r="Z438" s="30">
        <v>0</v>
      </c>
      <c r="AA438" s="30">
        <v>0</v>
      </c>
      <c r="AB438" s="30">
        <v>0</v>
      </c>
      <c r="AC438" s="30">
        <v>0</v>
      </c>
      <c r="AD438" s="30">
        <v>0</v>
      </c>
      <c r="AE438" s="30">
        <v>0</v>
      </c>
      <c r="AF438" s="30">
        <v>0</v>
      </c>
      <c r="AG438" s="30">
        <v>0</v>
      </c>
      <c r="AH438" s="30">
        <v>0</v>
      </c>
      <c r="AI438" s="30">
        <v>0</v>
      </c>
      <c r="AJ438" s="30">
        <v>0</v>
      </c>
      <c r="AK438" s="30">
        <v>0</v>
      </c>
      <c r="AL438" s="30">
        <v>0</v>
      </c>
      <c r="AM438" s="55">
        <f t="shared" si="56"/>
        <v>0</v>
      </c>
      <c r="AN438" s="55">
        <f t="shared" si="57"/>
        <v>0</v>
      </c>
      <c r="AO438" s="72"/>
      <c r="AP438" s="74" t="str">
        <f t="shared" si="58"/>
        <v/>
      </c>
      <c r="AQ438" s="74" t="str">
        <f t="shared" si="59"/>
        <v/>
      </c>
    </row>
    <row r="439" spans="1:43" ht="13.8" thickBot="1" x14ac:dyDescent="0.3">
      <c r="A439" s="68">
        <v>23</v>
      </c>
      <c r="B439" s="67" t="s">
        <v>982</v>
      </c>
      <c r="C439" s="69" t="s">
        <v>981</v>
      </c>
      <c r="D439" s="66" t="s">
        <v>201</v>
      </c>
      <c r="E439" s="71">
        <v>0.02</v>
      </c>
      <c r="F439" s="54"/>
      <c r="G439" s="54"/>
      <c r="H439" s="30">
        <v>0</v>
      </c>
      <c r="I439" s="30">
        <v>0</v>
      </c>
      <c r="J439" s="30">
        <v>0</v>
      </c>
      <c r="K439" s="30">
        <v>0</v>
      </c>
      <c r="L439" s="30">
        <v>0</v>
      </c>
      <c r="M439" s="30">
        <v>0</v>
      </c>
      <c r="N439" s="30">
        <v>0</v>
      </c>
      <c r="O439" s="30">
        <v>0</v>
      </c>
      <c r="P439" s="30">
        <v>0</v>
      </c>
      <c r="Q439" s="30">
        <v>0</v>
      </c>
      <c r="R439" s="30">
        <v>0</v>
      </c>
      <c r="S439" s="30">
        <v>0</v>
      </c>
      <c r="T439" s="30">
        <v>0</v>
      </c>
      <c r="U439" s="30">
        <v>0</v>
      </c>
      <c r="V439" s="30">
        <v>0</v>
      </c>
      <c r="W439" s="30">
        <v>0</v>
      </c>
      <c r="X439" s="30">
        <v>0</v>
      </c>
      <c r="Y439" s="30">
        <v>0</v>
      </c>
      <c r="Z439" s="30">
        <v>0</v>
      </c>
      <c r="AA439" s="30">
        <v>0</v>
      </c>
      <c r="AB439" s="30">
        <v>0</v>
      </c>
      <c r="AC439" s="30">
        <v>0</v>
      </c>
      <c r="AD439" s="30">
        <v>0</v>
      </c>
      <c r="AE439" s="30">
        <v>0</v>
      </c>
      <c r="AF439" s="30">
        <v>0</v>
      </c>
      <c r="AG439" s="30">
        <v>0</v>
      </c>
      <c r="AH439" s="30">
        <v>0</v>
      </c>
      <c r="AI439" s="30">
        <v>0</v>
      </c>
      <c r="AJ439" s="30">
        <v>0</v>
      </c>
      <c r="AK439" s="30">
        <v>0</v>
      </c>
      <c r="AL439" s="30">
        <v>0</v>
      </c>
      <c r="AM439" s="55">
        <f t="shared" si="56"/>
        <v>0</v>
      </c>
      <c r="AN439" s="55">
        <f t="shared" si="57"/>
        <v>0</v>
      </c>
      <c r="AO439" s="72"/>
      <c r="AP439" s="74" t="str">
        <f t="shared" si="58"/>
        <v/>
      </c>
      <c r="AQ439" s="74" t="str">
        <f t="shared" si="59"/>
        <v/>
      </c>
    </row>
    <row r="440" spans="1:43" ht="13.8" thickBot="1" x14ac:dyDescent="0.3">
      <c r="A440" s="68">
        <v>24</v>
      </c>
      <c r="B440" s="67" t="s">
        <v>216</v>
      </c>
      <c r="C440" s="69" t="s">
        <v>983</v>
      </c>
      <c r="D440" s="66" t="s">
        <v>213</v>
      </c>
      <c r="E440" s="70" t="s">
        <v>13</v>
      </c>
      <c r="F440" s="54"/>
      <c r="G440" s="54"/>
      <c r="H440" s="30">
        <v>0</v>
      </c>
      <c r="I440" s="30">
        <v>0</v>
      </c>
      <c r="J440" s="30">
        <v>0</v>
      </c>
      <c r="K440" s="30">
        <v>0</v>
      </c>
      <c r="L440" s="30">
        <v>0</v>
      </c>
      <c r="M440" s="30">
        <v>0</v>
      </c>
      <c r="N440" s="30">
        <v>0</v>
      </c>
      <c r="O440" s="30">
        <v>0</v>
      </c>
      <c r="P440" s="30">
        <v>0</v>
      </c>
      <c r="Q440" s="30">
        <v>0</v>
      </c>
      <c r="R440" s="30">
        <v>0</v>
      </c>
      <c r="S440" s="30">
        <v>0</v>
      </c>
      <c r="T440" s="30">
        <v>0</v>
      </c>
      <c r="U440" s="30">
        <v>0</v>
      </c>
      <c r="V440" s="30">
        <v>0</v>
      </c>
      <c r="W440" s="30">
        <v>0</v>
      </c>
      <c r="X440" s="30">
        <v>0</v>
      </c>
      <c r="Y440" s="30">
        <v>0</v>
      </c>
      <c r="Z440" s="30">
        <v>0</v>
      </c>
      <c r="AA440" s="30">
        <v>0</v>
      </c>
      <c r="AB440" s="30">
        <v>0</v>
      </c>
      <c r="AC440" s="30">
        <v>0</v>
      </c>
      <c r="AD440" s="30">
        <v>0</v>
      </c>
      <c r="AE440" s="30">
        <v>0</v>
      </c>
      <c r="AF440" s="30">
        <v>0</v>
      </c>
      <c r="AG440" s="30">
        <v>0</v>
      </c>
      <c r="AH440" s="30">
        <v>0</v>
      </c>
      <c r="AI440" s="30">
        <v>0</v>
      </c>
      <c r="AJ440" s="30">
        <v>0</v>
      </c>
      <c r="AK440" s="30">
        <v>0</v>
      </c>
      <c r="AL440" s="30">
        <v>0</v>
      </c>
      <c r="AM440" s="55">
        <f t="shared" si="56"/>
        <v>0</v>
      </c>
      <c r="AN440" s="55">
        <f t="shared" si="57"/>
        <v>0</v>
      </c>
      <c r="AO440" s="72"/>
      <c r="AP440" s="74" t="str">
        <f t="shared" si="58"/>
        <v/>
      </c>
      <c r="AQ440" s="74" t="str">
        <f t="shared" si="59"/>
        <v/>
      </c>
    </row>
    <row r="441" spans="1:43" ht="13.8" thickBot="1" x14ac:dyDescent="0.3">
      <c r="A441" s="68">
        <v>25</v>
      </c>
      <c r="B441" s="67" t="s">
        <v>217</v>
      </c>
      <c r="C441" s="69" t="s">
        <v>983</v>
      </c>
      <c r="D441" s="66" t="s">
        <v>198</v>
      </c>
      <c r="E441" s="70" t="s">
        <v>13</v>
      </c>
      <c r="F441" s="54"/>
      <c r="G441" s="54"/>
      <c r="H441" s="30">
        <v>0</v>
      </c>
      <c r="I441" s="30">
        <v>0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30">
        <v>0</v>
      </c>
      <c r="P441" s="30">
        <v>0</v>
      </c>
      <c r="Q441" s="30">
        <v>0</v>
      </c>
      <c r="R441" s="30">
        <v>0</v>
      </c>
      <c r="S441" s="30">
        <v>0</v>
      </c>
      <c r="T441" s="30">
        <v>0</v>
      </c>
      <c r="U441" s="30">
        <v>0</v>
      </c>
      <c r="V441" s="30">
        <v>0</v>
      </c>
      <c r="W441" s="30">
        <v>0</v>
      </c>
      <c r="X441" s="30">
        <v>0</v>
      </c>
      <c r="Y441" s="30">
        <v>0</v>
      </c>
      <c r="Z441" s="30">
        <v>0</v>
      </c>
      <c r="AA441" s="30">
        <v>0</v>
      </c>
      <c r="AB441" s="30">
        <v>0</v>
      </c>
      <c r="AC441" s="30">
        <v>0</v>
      </c>
      <c r="AD441" s="30">
        <v>0</v>
      </c>
      <c r="AE441" s="30">
        <v>0</v>
      </c>
      <c r="AF441" s="30">
        <v>0</v>
      </c>
      <c r="AG441" s="30">
        <v>0</v>
      </c>
      <c r="AH441" s="30">
        <v>0</v>
      </c>
      <c r="AI441" s="30">
        <v>0</v>
      </c>
      <c r="AJ441" s="30">
        <v>0</v>
      </c>
      <c r="AK441" s="30">
        <v>0</v>
      </c>
      <c r="AL441" s="30">
        <v>0</v>
      </c>
      <c r="AM441" s="55">
        <f t="shared" si="56"/>
        <v>0</v>
      </c>
      <c r="AN441" s="55">
        <f t="shared" si="57"/>
        <v>0</v>
      </c>
      <c r="AO441" s="72"/>
      <c r="AP441" s="74" t="str">
        <f t="shared" si="58"/>
        <v/>
      </c>
      <c r="AQ441" s="74" t="str">
        <f t="shared" si="59"/>
        <v/>
      </c>
    </row>
    <row r="442" spans="1:43" ht="13.8" thickBot="1" x14ac:dyDescent="0.3">
      <c r="A442" s="68">
        <v>26</v>
      </c>
      <c r="B442" s="67" t="s">
        <v>225</v>
      </c>
      <c r="C442" s="69" t="s">
        <v>983</v>
      </c>
      <c r="D442" s="66" t="s">
        <v>198</v>
      </c>
      <c r="E442" s="70" t="s">
        <v>13</v>
      </c>
      <c r="F442" s="54"/>
      <c r="G442" s="54"/>
      <c r="H442" s="30">
        <v>0</v>
      </c>
      <c r="I442" s="30">
        <v>0</v>
      </c>
      <c r="J442" s="30">
        <v>0</v>
      </c>
      <c r="K442" s="30">
        <v>0</v>
      </c>
      <c r="L442" s="30">
        <v>0</v>
      </c>
      <c r="M442" s="30">
        <v>0</v>
      </c>
      <c r="N442" s="30">
        <v>0</v>
      </c>
      <c r="O442" s="30">
        <v>0</v>
      </c>
      <c r="P442" s="30">
        <v>0</v>
      </c>
      <c r="Q442" s="30">
        <v>0</v>
      </c>
      <c r="R442" s="30">
        <v>0</v>
      </c>
      <c r="S442" s="30">
        <v>0</v>
      </c>
      <c r="T442" s="30">
        <v>0</v>
      </c>
      <c r="U442" s="30">
        <v>0</v>
      </c>
      <c r="V442" s="30">
        <v>0</v>
      </c>
      <c r="W442" s="30">
        <v>0</v>
      </c>
      <c r="X442" s="30">
        <v>0</v>
      </c>
      <c r="Y442" s="30">
        <v>0</v>
      </c>
      <c r="Z442" s="30">
        <v>0</v>
      </c>
      <c r="AA442" s="30">
        <v>0</v>
      </c>
      <c r="AB442" s="30">
        <v>0</v>
      </c>
      <c r="AC442" s="30">
        <v>0</v>
      </c>
      <c r="AD442" s="30">
        <v>0</v>
      </c>
      <c r="AE442" s="30">
        <v>0</v>
      </c>
      <c r="AF442" s="30">
        <v>0</v>
      </c>
      <c r="AG442" s="30">
        <v>0</v>
      </c>
      <c r="AH442" s="30">
        <v>0</v>
      </c>
      <c r="AI442" s="30">
        <v>0</v>
      </c>
      <c r="AJ442" s="30">
        <v>0</v>
      </c>
      <c r="AK442" s="30">
        <v>0</v>
      </c>
      <c r="AL442" s="30">
        <v>0</v>
      </c>
      <c r="AM442" s="55">
        <f t="shared" si="56"/>
        <v>0</v>
      </c>
      <c r="AN442" s="55">
        <f t="shared" si="57"/>
        <v>0</v>
      </c>
      <c r="AO442" s="72"/>
      <c r="AP442" s="74" t="str">
        <f t="shared" si="58"/>
        <v/>
      </c>
      <c r="AQ442" s="74" t="str">
        <f t="shared" si="59"/>
        <v/>
      </c>
    </row>
    <row r="443" spans="1:43" ht="13.8" thickBot="1" x14ac:dyDescent="0.3">
      <c r="A443" s="68">
        <v>27</v>
      </c>
      <c r="B443" s="67" t="s">
        <v>222</v>
      </c>
      <c r="C443" s="69" t="s">
        <v>984</v>
      </c>
      <c r="D443" s="66" t="s">
        <v>976</v>
      </c>
      <c r="E443" s="70" t="s">
        <v>13</v>
      </c>
      <c r="F443" s="54"/>
      <c r="G443" s="54"/>
      <c r="H443" s="30">
        <v>0</v>
      </c>
      <c r="I443" s="30">
        <v>0</v>
      </c>
      <c r="J443" s="30">
        <v>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0">
        <v>0</v>
      </c>
      <c r="Q443" s="30">
        <v>0</v>
      </c>
      <c r="R443" s="30">
        <v>0</v>
      </c>
      <c r="S443" s="30">
        <v>0</v>
      </c>
      <c r="T443" s="30">
        <v>0</v>
      </c>
      <c r="U443" s="30">
        <v>0</v>
      </c>
      <c r="V443" s="30">
        <v>0</v>
      </c>
      <c r="W443" s="30">
        <v>0</v>
      </c>
      <c r="X443" s="30">
        <v>0</v>
      </c>
      <c r="Y443" s="30">
        <v>0</v>
      </c>
      <c r="Z443" s="30">
        <v>0</v>
      </c>
      <c r="AA443" s="30">
        <v>0</v>
      </c>
      <c r="AB443" s="30">
        <v>0</v>
      </c>
      <c r="AC443" s="30">
        <v>0</v>
      </c>
      <c r="AD443" s="30">
        <v>0</v>
      </c>
      <c r="AE443" s="30">
        <v>0</v>
      </c>
      <c r="AF443" s="30">
        <v>0</v>
      </c>
      <c r="AG443" s="30">
        <v>0</v>
      </c>
      <c r="AH443" s="30">
        <v>0</v>
      </c>
      <c r="AI443" s="30">
        <v>0</v>
      </c>
      <c r="AJ443" s="30">
        <v>0</v>
      </c>
      <c r="AK443" s="30">
        <v>0</v>
      </c>
      <c r="AL443" s="30">
        <v>0</v>
      </c>
      <c r="AM443" s="55">
        <f t="shared" si="56"/>
        <v>0</v>
      </c>
      <c r="AN443" s="55">
        <f t="shared" si="57"/>
        <v>0</v>
      </c>
      <c r="AO443" s="72"/>
      <c r="AP443" s="74" t="str">
        <f t="shared" si="58"/>
        <v/>
      </c>
      <c r="AQ443" s="74" t="str">
        <f t="shared" si="59"/>
        <v/>
      </c>
    </row>
    <row r="444" spans="1:43" ht="13.8" thickBot="1" x14ac:dyDescent="0.3">
      <c r="A444" s="68">
        <v>28</v>
      </c>
      <c r="B444" s="67" t="s">
        <v>202</v>
      </c>
      <c r="C444" s="69" t="s">
        <v>987</v>
      </c>
      <c r="D444" s="66" t="s">
        <v>976</v>
      </c>
      <c r="E444" s="70" t="s">
        <v>13</v>
      </c>
      <c r="F444" s="54"/>
      <c r="G444" s="54"/>
      <c r="H444" s="30">
        <v>0</v>
      </c>
      <c r="I444" s="30">
        <v>0</v>
      </c>
      <c r="J444" s="30">
        <v>0</v>
      </c>
      <c r="K444" s="30">
        <v>0</v>
      </c>
      <c r="L444" s="30">
        <v>0</v>
      </c>
      <c r="M444" s="30">
        <v>0</v>
      </c>
      <c r="N444" s="30">
        <v>0</v>
      </c>
      <c r="O444" s="30">
        <v>0</v>
      </c>
      <c r="P444" s="30">
        <v>0</v>
      </c>
      <c r="Q444" s="30">
        <v>0</v>
      </c>
      <c r="R444" s="30">
        <v>0</v>
      </c>
      <c r="S444" s="30">
        <v>0</v>
      </c>
      <c r="T444" s="30">
        <v>0</v>
      </c>
      <c r="U444" s="30">
        <v>0</v>
      </c>
      <c r="V444" s="30">
        <v>0</v>
      </c>
      <c r="W444" s="30">
        <v>0</v>
      </c>
      <c r="X444" s="30">
        <v>0</v>
      </c>
      <c r="Y444" s="30">
        <v>0</v>
      </c>
      <c r="Z444" s="30">
        <v>0</v>
      </c>
      <c r="AA444" s="30">
        <v>0</v>
      </c>
      <c r="AB444" s="30">
        <v>0</v>
      </c>
      <c r="AC444" s="30">
        <v>0</v>
      </c>
      <c r="AD444" s="30">
        <v>0</v>
      </c>
      <c r="AE444" s="30">
        <v>0</v>
      </c>
      <c r="AF444" s="30">
        <v>0</v>
      </c>
      <c r="AG444" s="30">
        <v>0</v>
      </c>
      <c r="AH444" s="30">
        <v>0</v>
      </c>
      <c r="AI444" s="30">
        <v>0</v>
      </c>
      <c r="AJ444" s="30">
        <v>0</v>
      </c>
      <c r="AK444" s="30">
        <v>0</v>
      </c>
      <c r="AL444" s="30">
        <v>0</v>
      </c>
      <c r="AM444" s="55">
        <f t="shared" si="56"/>
        <v>0</v>
      </c>
      <c r="AN444" s="55">
        <f t="shared" si="57"/>
        <v>0</v>
      </c>
      <c r="AO444" s="72"/>
      <c r="AP444" s="74" t="str">
        <f t="shared" si="58"/>
        <v/>
      </c>
      <c r="AQ444" s="74" t="str">
        <f t="shared" si="59"/>
        <v/>
      </c>
    </row>
    <row r="445" spans="1:43" ht="13.8" thickBot="1" x14ac:dyDescent="0.3">
      <c r="A445" s="68">
        <v>29</v>
      </c>
      <c r="B445" s="67" t="s">
        <v>214</v>
      </c>
      <c r="C445" s="69" t="s">
        <v>987</v>
      </c>
      <c r="D445" s="66" t="s">
        <v>976</v>
      </c>
      <c r="E445" s="70" t="s">
        <v>13</v>
      </c>
      <c r="F445" s="54"/>
      <c r="G445" s="54"/>
      <c r="H445" s="30">
        <v>0</v>
      </c>
      <c r="I445" s="30">
        <v>0</v>
      </c>
      <c r="J445" s="30">
        <v>0</v>
      </c>
      <c r="K445" s="30">
        <v>0</v>
      </c>
      <c r="L445" s="30">
        <v>0</v>
      </c>
      <c r="M445" s="30">
        <v>0</v>
      </c>
      <c r="N445" s="30">
        <v>0</v>
      </c>
      <c r="O445" s="30">
        <v>0</v>
      </c>
      <c r="P445" s="30">
        <v>0</v>
      </c>
      <c r="Q445" s="30">
        <v>0</v>
      </c>
      <c r="R445" s="30">
        <v>0</v>
      </c>
      <c r="S445" s="30">
        <v>0</v>
      </c>
      <c r="T445" s="30">
        <v>0</v>
      </c>
      <c r="U445" s="30">
        <v>0</v>
      </c>
      <c r="V445" s="30">
        <v>0</v>
      </c>
      <c r="W445" s="30">
        <v>0</v>
      </c>
      <c r="X445" s="30">
        <v>0</v>
      </c>
      <c r="Y445" s="30">
        <v>0</v>
      </c>
      <c r="Z445" s="30">
        <v>0</v>
      </c>
      <c r="AA445" s="30">
        <v>0</v>
      </c>
      <c r="AB445" s="30">
        <v>0</v>
      </c>
      <c r="AC445" s="30">
        <v>0</v>
      </c>
      <c r="AD445" s="30">
        <v>0</v>
      </c>
      <c r="AE445" s="30">
        <v>0</v>
      </c>
      <c r="AF445" s="30">
        <v>0</v>
      </c>
      <c r="AG445" s="30">
        <v>0</v>
      </c>
      <c r="AH445" s="30">
        <v>0</v>
      </c>
      <c r="AI445" s="30">
        <v>0</v>
      </c>
      <c r="AJ445" s="30">
        <v>0</v>
      </c>
      <c r="AK445" s="30">
        <v>0</v>
      </c>
      <c r="AL445" s="30">
        <v>0</v>
      </c>
      <c r="AM445" s="55">
        <f t="shared" si="56"/>
        <v>0</v>
      </c>
      <c r="AN445" s="55">
        <f t="shared" si="57"/>
        <v>0</v>
      </c>
      <c r="AO445" s="72"/>
      <c r="AP445" s="74" t="str">
        <f t="shared" si="58"/>
        <v/>
      </c>
      <c r="AQ445" s="74" t="str">
        <f t="shared" si="59"/>
        <v/>
      </c>
    </row>
    <row r="446" spans="1:43" ht="13.8" thickBot="1" x14ac:dyDescent="0.3">
      <c r="A446" s="68">
        <v>30</v>
      </c>
      <c r="B446" s="67" t="s">
        <v>993</v>
      </c>
      <c r="C446" s="69" t="s">
        <v>988</v>
      </c>
      <c r="D446" s="66" t="s">
        <v>219</v>
      </c>
      <c r="E446" s="66" t="s">
        <v>994</v>
      </c>
      <c r="F446" s="54"/>
      <c r="G446" s="54"/>
      <c r="H446" s="30">
        <v>0</v>
      </c>
      <c r="I446" s="30">
        <v>0</v>
      </c>
      <c r="J446" s="30">
        <v>0</v>
      </c>
      <c r="K446" s="30">
        <v>0</v>
      </c>
      <c r="L446" s="30">
        <v>0</v>
      </c>
      <c r="M446" s="30">
        <v>0</v>
      </c>
      <c r="N446" s="30">
        <v>0</v>
      </c>
      <c r="O446" s="30">
        <v>0</v>
      </c>
      <c r="P446" s="30">
        <v>0</v>
      </c>
      <c r="Q446" s="30">
        <v>0</v>
      </c>
      <c r="R446" s="30">
        <v>0</v>
      </c>
      <c r="S446" s="30">
        <v>0</v>
      </c>
      <c r="T446" s="30">
        <v>0</v>
      </c>
      <c r="U446" s="30">
        <v>0</v>
      </c>
      <c r="V446" s="30">
        <v>0</v>
      </c>
      <c r="W446" s="30">
        <v>0</v>
      </c>
      <c r="X446" s="30">
        <v>0</v>
      </c>
      <c r="Y446" s="30">
        <v>0</v>
      </c>
      <c r="Z446" s="30">
        <v>0</v>
      </c>
      <c r="AA446" s="30">
        <v>0</v>
      </c>
      <c r="AB446" s="30">
        <v>0</v>
      </c>
      <c r="AC446" s="30">
        <v>0</v>
      </c>
      <c r="AD446" s="30">
        <v>0</v>
      </c>
      <c r="AE446" s="30">
        <v>0</v>
      </c>
      <c r="AF446" s="30">
        <v>0</v>
      </c>
      <c r="AG446" s="30">
        <v>0</v>
      </c>
      <c r="AH446" s="30">
        <v>0</v>
      </c>
      <c r="AI446" s="30">
        <v>0</v>
      </c>
      <c r="AJ446" s="30">
        <v>0</v>
      </c>
      <c r="AK446" s="30">
        <v>0</v>
      </c>
      <c r="AL446" s="30">
        <v>0</v>
      </c>
      <c r="AM446" s="55">
        <f t="shared" si="56"/>
        <v>0</v>
      </c>
      <c r="AN446" s="55">
        <f t="shared" si="57"/>
        <v>0</v>
      </c>
      <c r="AO446" s="72"/>
      <c r="AP446" s="74" t="str">
        <f t="shared" si="58"/>
        <v/>
      </c>
      <c r="AQ446" s="74" t="str">
        <f t="shared" si="59"/>
        <v/>
      </c>
    </row>
    <row r="447" spans="1:43" ht="13.8" thickBot="1" x14ac:dyDescent="0.3">
      <c r="A447" s="68">
        <v>31</v>
      </c>
      <c r="B447" s="67" t="s">
        <v>990</v>
      </c>
      <c r="C447" s="69" t="s">
        <v>989</v>
      </c>
      <c r="D447" s="66" t="s">
        <v>219</v>
      </c>
      <c r="E447" s="70" t="s">
        <v>13</v>
      </c>
      <c r="F447" s="54"/>
      <c r="G447" s="54"/>
      <c r="H447" s="30">
        <v>0</v>
      </c>
      <c r="I447" s="30">
        <v>0</v>
      </c>
      <c r="J447" s="30">
        <v>0</v>
      </c>
      <c r="K447" s="30">
        <v>0</v>
      </c>
      <c r="L447" s="30">
        <v>0</v>
      </c>
      <c r="M447" s="30">
        <v>0</v>
      </c>
      <c r="N447" s="30">
        <v>0</v>
      </c>
      <c r="O447" s="30">
        <v>0</v>
      </c>
      <c r="P447" s="30">
        <v>0</v>
      </c>
      <c r="Q447" s="30">
        <v>0</v>
      </c>
      <c r="R447" s="30">
        <v>0</v>
      </c>
      <c r="S447" s="30">
        <v>0</v>
      </c>
      <c r="T447" s="30">
        <v>0</v>
      </c>
      <c r="U447" s="30">
        <v>0</v>
      </c>
      <c r="V447" s="30">
        <v>0</v>
      </c>
      <c r="W447" s="30">
        <v>0</v>
      </c>
      <c r="X447" s="30">
        <v>0</v>
      </c>
      <c r="Y447" s="30">
        <v>0</v>
      </c>
      <c r="Z447" s="30">
        <v>0</v>
      </c>
      <c r="AA447" s="30">
        <v>0</v>
      </c>
      <c r="AB447" s="30">
        <v>0</v>
      </c>
      <c r="AC447" s="30">
        <v>0</v>
      </c>
      <c r="AD447" s="30">
        <v>0</v>
      </c>
      <c r="AE447" s="30">
        <v>0</v>
      </c>
      <c r="AF447" s="30">
        <v>0</v>
      </c>
      <c r="AG447" s="30">
        <v>0</v>
      </c>
      <c r="AH447" s="30">
        <v>0</v>
      </c>
      <c r="AI447" s="30">
        <v>0</v>
      </c>
      <c r="AJ447" s="30">
        <v>0</v>
      </c>
      <c r="AK447" s="30">
        <v>0</v>
      </c>
      <c r="AL447" s="30">
        <v>0</v>
      </c>
      <c r="AM447" s="55">
        <f t="shared" si="56"/>
        <v>0</v>
      </c>
      <c r="AN447" s="55">
        <f t="shared" si="57"/>
        <v>0</v>
      </c>
      <c r="AO447" s="72"/>
      <c r="AP447" s="74" t="str">
        <f t="shared" si="58"/>
        <v/>
      </c>
      <c r="AQ447" s="74" t="str">
        <f t="shared" si="59"/>
        <v/>
      </c>
    </row>
    <row r="448" spans="1:43" ht="13.8" thickBot="1" x14ac:dyDescent="0.3">
      <c r="A448" s="68">
        <v>32</v>
      </c>
      <c r="B448" s="67" t="s">
        <v>196</v>
      </c>
      <c r="C448" s="69" t="s">
        <v>991</v>
      </c>
      <c r="D448" s="66" t="s">
        <v>213</v>
      </c>
      <c r="E448" s="66" t="s">
        <v>197</v>
      </c>
      <c r="F448" s="54"/>
      <c r="G448" s="54"/>
      <c r="H448" s="30">
        <v>0</v>
      </c>
      <c r="I448" s="30">
        <v>0</v>
      </c>
      <c r="J448" s="30">
        <v>0</v>
      </c>
      <c r="K448" s="30">
        <v>0</v>
      </c>
      <c r="L448" s="30">
        <v>0</v>
      </c>
      <c r="M448" s="30">
        <v>0</v>
      </c>
      <c r="N448" s="30">
        <v>0</v>
      </c>
      <c r="O448" s="30">
        <v>0</v>
      </c>
      <c r="P448" s="30">
        <v>0</v>
      </c>
      <c r="Q448" s="30">
        <v>0</v>
      </c>
      <c r="R448" s="30">
        <v>0</v>
      </c>
      <c r="S448" s="30">
        <v>0</v>
      </c>
      <c r="T448" s="30">
        <v>0</v>
      </c>
      <c r="U448" s="30">
        <v>0</v>
      </c>
      <c r="V448" s="30">
        <v>0</v>
      </c>
      <c r="W448" s="30">
        <v>0</v>
      </c>
      <c r="X448" s="30">
        <v>0</v>
      </c>
      <c r="Y448" s="30">
        <v>0</v>
      </c>
      <c r="Z448" s="30">
        <v>0</v>
      </c>
      <c r="AA448" s="30">
        <v>0</v>
      </c>
      <c r="AB448" s="30">
        <v>0</v>
      </c>
      <c r="AC448" s="30">
        <v>0</v>
      </c>
      <c r="AD448" s="30">
        <v>0</v>
      </c>
      <c r="AE448" s="30">
        <v>0</v>
      </c>
      <c r="AF448" s="30">
        <v>0</v>
      </c>
      <c r="AG448" s="30">
        <v>0</v>
      </c>
      <c r="AH448" s="30">
        <v>0</v>
      </c>
      <c r="AI448" s="30">
        <v>0</v>
      </c>
      <c r="AJ448" s="30">
        <v>0</v>
      </c>
      <c r="AK448" s="30">
        <v>0</v>
      </c>
      <c r="AL448" s="30">
        <v>0</v>
      </c>
      <c r="AM448" s="55">
        <f t="shared" si="56"/>
        <v>0</v>
      </c>
      <c r="AN448" s="55">
        <f t="shared" si="57"/>
        <v>0</v>
      </c>
      <c r="AO448" s="72"/>
      <c r="AP448" s="74" t="str">
        <f t="shared" si="58"/>
        <v/>
      </c>
      <c r="AQ448" s="74" t="str">
        <f t="shared" si="59"/>
        <v/>
      </c>
    </row>
    <row r="449" spans="1:43" ht="13.8" thickBot="1" x14ac:dyDescent="0.3">
      <c r="A449" s="68">
        <v>33</v>
      </c>
      <c r="B449" s="67" t="s">
        <v>215</v>
      </c>
      <c r="C449" s="69" t="s">
        <v>992</v>
      </c>
      <c r="D449" s="66" t="s">
        <v>198</v>
      </c>
      <c r="E449" s="66" t="s">
        <v>206</v>
      </c>
      <c r="F449" s="54"/>
      <c r="G449" s="54"/>
      <c r="H449" s="30">
        <v>0</v>
      </c>
      <c r="I449" s="30">
        <v>0</v>
      </c>
      <c r="J449" s="30">
        <v>0</v>
      </c>
      <c r="K449" s="30">
        <v>0</v>
      </c>
      <c r="L449" s="30">
        <v>0</v>
      </c>
      <c r="M449" s="30">
        <v>0</v>
      </c>
      <c r="N449" s="30">
        <v>0</v>
      </c>
      <c r="O449" s="30">
        <v>0</v>
      </c>
      <c r="P449" s="30">
        <v>0</v>
      </c>
      <c r="Q449" s="30">
        <v>0</v>
      </c>
      <c r="R449" s="30">
        <v>0</v>
      </c>
      <c r="S449" s="30">
        <v>0</v>
      </c>
      <c r="T449" s="30">
        <v>0</v>
      </c>
      <c r="U449" s="30">
        <v>0</v>
      </c>
      <c r="V449" s="30">
        <v>0</v>
      </c>
      <c r="W449" s="30">
        <v>0</v>
      </c>
      <c r="X449" s="30">
        <v>0</v>
      </c>
      <c r="Y449" s="30">
        <v>0</v>
      </c>
      <c r="Z449" s="30">
        <v>0</v>
      </c>
      <c r="AA449" s="30">
        <v>0</v>
      </c>
      <c r="AB449" s="30">
        <v>0</v>
      </c>
      <c r="AC449" s="30">
        <v>0</v>
      </c>
      <c r="AD449" s="30">
        <v>0</v>
      </c>
      <c r="AE449" s="30">
        <v>0</v>
      </c>
      <c r="AF449" s="30">
        <v>0</v>
      </c>
      <c r="AG449" s="30">
        <v>0</v>
      </c>
      <c r="AH449" s="30">
        <v>0</v>
      </c>
      <c r="AI449" s="30">
        <v>0</v>
      </c>
      <c r="AJ449" s="30">
        <v>0</v>
      </c>
      <c r="AK449" s="30">
        <v>0</v>
      </c>
      <c r="AL449" s="30">
        <v>0</v>
      </c>
      <c r="AM449" s="55">
        <f t="shared" si="56"/>
        <v>0</v>
      </c>
      <c r="AN449" s="55">
        <f t="shared" si="57"/>
        <v>0</v>
      </c>
      <c r="AO449" s="72"/>
      <c r="AP449" s="74" t="str">
        <f t="shared" si="58"/>
        <v/>
      </c>
      <c r="AQ449" s="74" t="str">
        <f t="shared" si="59"/>
        <v/>
      </c>
    </row>
    <row r="450" spans="1:43" ht="13.8" thickBot="1" x14ac:dyDescent="0.3">
      <c r="A450" s="68">
        <v>34</v>
      </c>
      <c r="B450" s="67" t="s">
        <v>226</v>
      </c>
      <c r="C450" s="69" t="s">
        <v>992</v>
      </c>
      <c r="D450" s="66" t="s">
        <v>230</v>
      </c>
      <c r="E450" s="66" t="s">
        <v>227</v>
      </c>
      <c r="F450" s="54"/>
      <c r="G450" s="54"/>
      <c r="H450" s="30">
        <v>0</v>
      </c>
      <c r="I450" s="30">
        <v>0</v>
      </c>
      <c r="J450" s="30">
        <v>0</v>
      </c>
      <c r="K450" s="30">
        <v>0</v>
      </c>
      <c r="L450" s="30">
        <v>0</v>
      </c>
      <c r="M450" s="30">
        <v>0</v>
      </c>
      <c r="N450" s="30">
        <v>0</v>
      </c>
      <c r="O450" s="30">
        <v>0</v>
      </c>
      <c r="P450" s="30">
        <v>0</v>
      </c>
      <c r="Q450" s="30">
        <v>0</v>
      </c>
      <c r="R450" s="30">
        <v>0</v>
      </c>
      <c r="S450" s="30">
        <v>0</v>
      </c>
      <c r="T450" s="30">
        <v>0</v>
      </c>
      <c r="U450" s="30">
        <v>0</v>
      </c>
      <c r="V450" s="30">
        <v>0</v>
      </c>
      <c r="W450" s="30">
        <v>0</v>
      </c>
      <c r="X450" s="30">
        <v>0</v>
      </c>
      <c r="Y450" s="30">
        <v>0</v>
      </c>
      <c r="Z450" s="30">
        <v>0</v>
      </c>
      <c r="AA450" s="30">
        <v>0</v>
      </c>
      <c r="AB450" s="30">
        <v>0</v>
      </c>
      <c r="AC450" s="30">
        <v>0</v>
      </c>
      <c r="AD450" s="30">
        <v>0</v>
      </c>
      <c r="AE450" s="30">
        <v>0</v>
      </c>
      <c r="AF450" s="30">
        <v>0</v>
      </c>
      <c r="AG450" s="30">
        <v>0</v>
      </c>
      <c r="AH450" s="30">
        <v>0</v>
      </c>
      <c r="AI450" s="30">
        <v>0</v>
      </c>
      <c r="AJ450" s="30">
        <v>0</v>
      </c>
      <c r="AK450" s="30">
        <v>0</v>
      </c>
      <c r="AL450" s="30">
        <v>0</v>
      </c>
      <c r="AM450" s="55">
        <f t="shared" si="56"/>
        <v>0</v>
      </c>
      <c r="AN450" s="55">
        <f t="shared" si="57"/>
        <v>0</v>
      </c>
      <c r="AO450" s="72"/>
      <c r="AP450" s="74" t="str">
        <f t="shared" si="58"/>
        <v/>
      </c>
      <c r="AQ450" s="74" t="str">
        <f t="shared" si="59"/>
        <v/>
      </c>
    </row>
    <row r="451" spans="1:43" ht="13.8" thickBot="1" x14ac:dyDescent="0.3">
      <c r="A451" s="68">
        <v>35</v>
      </c>
      <c r="B451" s="67"/>
      <c r="C451" s="69"/>
      <c r="D451" s="66"/>
      <c r="E451" s="66"/>
      <c r="F451" s="54"/>
      <c r="G451" s="54"/>
      <c r="H451" s="30">
        <v>0</v>
      </c>
      <c r="I451" s="30">
        <v>0</v>
      </c>
      <c r="J451" s="30">
        <v>0</v>
      </c>
      <c r="K451" s="30">
        <v>0</v>
      </c>
      <c r="L451" s="30">
        <v>0</v>
      </c>
      <c r="M451" s="30">
        <v>0</v>
      </c>
      <c r="N451" s="30">
        <v>0</v>
      </c>
      <c r="O451" s="30">
        <v>0</v>
      </c>
      <c r="P451" s="30">
        <v>0</v>
      </c>
      <c r="Q451" s="30">
        <v>0</v>
      </c>
      <c r="R451" s="30">
        <v>0</v>
      </c>
      <c r="S451" s="30">
        <v>0</v>
      </c>
      <c r="T451" s="30">
        <v>0</v>
      </c>
      <c r="U451" s="30">
        <v>0</v>
      </c>
      <c r="V451" s="30">
        <v>0</v>
      </c>
      <c r="W451" s="30">
        <v>0</v>
      </c>
      <c r="X451" s="30">
        <v>0</v>
      </c>
      <c r="Y451" s="30">
        <v>0</v>
      </c>
      <c r="Z451" s="30">
        <v>0</v>
      </c>
      <c r="AA451" s="30">
        <v>0</v>
      </c>
      <c r="AB451" s="30">
        <v>0</v>
      </c>
      <c r="AC451" s="30">
        <v>0</v>
      </c>
      <c r="AD451" s="30">
        <v>0</v>
      </c>
      <c r="AE451" s="30">
        <v>0</v>
      </c>
      <c r="AF451" s="30">
        <v>0</v>
      </c>
      <c r="AG451" s="30">
        <v>0</v>
      </c>
      <c r="AH451" s="30">
        <v>0</v>
      </c>
      <c r="AI451" s="30">
        <v>0</v>
      </c>
      <c r="AJ451" s="30">
        <v>0</v>
      </c>
      <c r="AK451" s="30">
        <v>0</v>
      </c>
      <c r="AL451" s="30">
        <v>0</v>
      </c>
      <c r="AM451" s="55">
        <f t="shared" si="56"/>
        <v>0</v>
      </c>
      <c r="AN451" s="55">
        <f t="shared" si="57"/>
        <v>0</v>
      </c>
      <c r="AO451" s="72"/>
      <c r="AP451" s="74" t="str">
        <f t="shared" si="58"/>
        <v/>
      </c>
      <c r="AQ451" s="74" t="str">
        <f t="shared" si="59"/>
        <v/>
      </c>
    </row>
    <row r="452" spans="1:43" ht="13.8" thickBot="1" x14ac:dyDescent="0.3">
      <c r="A452" s="68">
        <v>36</v>
      </c>
      <c r="B452" s="67"/>
      <c r="C452" s="69"/>
      <c r="D452" s="66"/>
      <c r="E452" s="66"/>
      <c r="F452" s="54"/>
      <c r="G452" s="54"/>
      <c r="H452" s="30">
        <v>0</v>
      </c>
      <c r="I452" s="30">
        <v>0</v>
      </c>
      <c r="J452" s="30">
        <v>0</v>
      </c>
      <c r="K452" s="30">
        <v>0</v>
      </c>
      <c r="L452" s="30">
        <v>0</v>
      </c>
      <c r="M452" s="30">
        <v>0</v>
      </c>
      <c r="N452" s="30">
        <v>0</v>
      </c>
      <c r="O452" s="30">
        <v>0</v>
      </c>
      <c r="P452" s="30">
        <v>0</v>
      </c>
      <c r="Q452" s="30">
        <v>0</v>
      </c>
      <c r="R452" s="30">
        <v>0</v>
      </c>
      <c r="S452" s="30">
        <v>0</v>
      </c>
      <c r="T452" s="30">
        <v>0</v>
      </c>
      <c r="U452" s="30">
        <v>0</v>
      </c>
      <c r="V452" s="30">
        <v>0</v>
      </c>
      <c r="W452" s="30">
        <v>0</v>
      </c>
      <c r="X452" s="30">
        <v>0</v>
      </c>
      <c r="Y452" s="30">
        <v>0</v>
      </c>
      <c r="Z452" s="30">
        <v>0</v>
      </c>
      <c r="AA452" s="30">
        <v>0</v>
      </c>
      <c r="AB452" s="30">
        <v>0</v>
      </c>
      <c r="AC452" s="30">
        <v>0</v>
      </c>
      <c r="AD452" s="30">
        <v>0</v>
      </c>
      <c r="AE452" s="30">
        <v>0</v>
      </c>
      <c r="AF452" s="30">
        <v>0</v>
      </c>
      <c r="AG452" s="30">
        <v>0</v>
      </c>
      <c r="AH452" s="30">
        <v>0</v>
      </c>
      <c r="AI452" s="30">
        <v>0</v>
      </c>
      <c r="AJ452" s="30">
        <v>0</v>
      </c>
      <c r="AK452" s="30">
        <v>0</v>
      </c>
      <c r="AL452" s="30">
        <v>0</v>
      </c>
      <c r="AM452" s="55">
        <f t="shared" si="56"/>
        <v>0</v>
      </c>
      <c r="AN452" s="55">
        <f t="shared" si="57"/>
        <v>0</v>
      </c>
      <c r="AO452" s="72"/>
      <c r="AP452" s="74" t="str">
        <f t="shared" si="58"/>
        <v/>
      </c>
      <c r="AQ452" s="74" t="str">
        <f t="shared" si="59"/>
        <v/>
      </c>
    </row>
    <row r="453" spans="1:43" ht="13.8" thickBot="1" x14ac:dyDescent="0.3">
      <c r="A453" s="68">
        <v>37</v>
      </c>
      <c r="B453" s="67"/>
      <c r="C453" s="69"/>
      <c r="D453" s="66"/>
      <c r="E453" s="66"/>
      <c r="F453" s="54"/>
      <c r="G453" s="54"/>
      <c r="H453" s="30">
        <v>0</v>
      </c>
      <c r="I453" s="30">
        <v>0</v>
      </c>
      <c r="J453" s="30">
        <v>0</v>
      </c>
      <c r="K453" s="30">
        <v>0</v>
      </c>
      <c r="L453" s="30">
        <v>0</v>
      </c>
      <c r="M453" s="30">
        <v>0</v>
      </c>
      <c r="N453" s="30">
        <v>0</v>
      </c>
      <c r="O453" s="30">
        <v>0</v>
      </c>
      <c r="P453" s="30">
        <v>0</v>
      </c>
      <c r="Q453" s="30">
        <v>0</v>
      </c>
      <c r="R453" s="30">
        <v>0</v>
      </c>
      <c r="S453" s="30">
        <v>0</v>
      </c>
      <c r="T453" s="30">
        <v>0</v>
      </c>
      <c r="U453" s="30">
        <v>0</v>
      </c>
      <c r="V453" s="30">
        <v>0</v>
      </c>
      <c r="W453" s="30">
        <v>0</v>
      </c>
      <c r="X453" s="30">
        <v>0</v>
      </c>
      <c r="Y453" s="30">
        <v>0</v>
      </c>
      <c r="Z453" s="30">
        <v>0</v>
      </c>
      <c r="AA453" s="30">
        <v>0</v>
      </c>
      <c r="AB453" s="30">
        <v>0</v>
      </c>
      <c r="AC453" s="30">
        <v>0</v>
      </c>
      <c r="AD453" s="30">
        <v>0</v>
      </c>
      <c r="AE453" s="30">
        <v>0</v>
      </c>
      <c r="AF453" s="30">
        <v>0</v>
      </c>
      <c r="AG453" s="30">
        <v>0</v>
      </c>
      <c r="AH453" s="30">
        <v>0</v>
      </c>
      <c r="AI453" s="30">
        <v>0</v>
      </c>
      <c r="AJ453" s="30">
        <v>0</v>
      </c>
      <c r="AK453" s="30">
        <v>0</v>
      </c>
      <c r="AL453" s="30">
        <v>0</v>
      </c>
      <c r="AM453" s="55">
        <f t="shared" si="56"/>
        <v>0</v>
      </c>
      <c r="AN453" s="55">
        <f t="shared" si="57"/>
        <v>0</v>
      </c>
      <c r="AO453" s="72"/>
      <c r="AP453" s="74" t="str">
        <f t="shared" si="58"/>
        <v/>
      </c>
      <c r="AQ453" s="74" t="str">
        <f t="shared" si="59"/>
        <v/>
      </c>
    </row>
    <row r="454" spans="1:43" ht="13.8" thickBot="1" x14ac:dyDescent="0.3">
      <c r="A454" s="68">
        <v>38</v>
      </c>
      <c r="B454" s="67"/>
      <c r="C454" s="69"/>
      <c r="D454" s="66"/>
      <c r="E454" s="66"/>
      <c r="F454" s="54"/>
      <c r="G454" s="54"/>
      <c r="H454" s="30">
        <v>0</v>
      </c>
      <c r="I454" s="30">
        <v>0</v>
      </c>
      <c r="J454" s="30">
        <v>0</v>
      </c>
      <c r="K454" s="30">
        <v>0</v>
      </c>
      <c r="L454" s="30">
        <v>0</v>
      </c>
      <c r="M454" s="30">
        <v>0</v>
      </c>
      <c r="N454" s="30">
        <v>0</v>
      </c>
      <c r="O454" s="30">
        <v>0</v>
      </c>
      <c r="P454" s="30">
        <v>0</v>
      </c>
      <c r="Q454" s="30">
        <v>0</v>
      </c>
      <c r="R454" s="30">
        <v>0</v>
      </c>
      <c r="S454" s="30">
        <v>0</v>
      </c>
      <c r="T454" s="30">
        <v>0</v>
      </c>
      <c r="U454" s="30">
        <v>0</v>
      </c>
      <c r="V454" s="30">
        <v>0</v>
      </c>
      <c r="W454" s="30">
        <v>0</v>
      </c>
      <c r="X454" s="30">
        <v>0</v>
      </c>
      <c r="Y454" s="30">
        <v>0</v>
      </c>
      <c r="Z454" s="30">
        <v>0</v>
      </c>
      <c r="AA454" s="30">
        <v>0</v>
      </c>
      <c r="AB454" s="30">
        <v>0</v>
      </c>
      <c r="AC454" s="30">
        <v>0</v>
      </c>
      <c r="AD454" s="30">
        <v>0</v>
      </c>
      <c r="AE454" s="30">
        <v>0</v>
      </c>
      <c r="AF454" s="30">
        <v>0</v>
      </c>
      <c r="AG454" s="30">
        <v>0</v>
      </c>
      <c r="AH454" s="30">
        <v>0</v>
      </c>
      <c r="AI454" s="30">
        <v>0</v>
      </c>
      <c r="AJ454" s="30">
        <v>0</v>
      </c>
      <c r="AK454" s="30">
        <v>0</v>
      </c>
      <c r="AL454" s="30">
        <v>0</v>
      </c>
      <c r="AM454" s="55">
        <f t="shared" si="56"/>
        <v>0</v>
      </c>
      <c r="AN454" s="55">
        <f t="shared" si="57"/>
        <v>0</v>
      </c>
      <c r="AO454" s="72"/>
      <c r="AP454" s="74" t="str">
        <f t="shared" si="58"/>
        <v/>
      </c>
      <c r="AQ454" s="74" t="str">
        <f t="shared" si="59"/>
        <v/>
      </c>
    </row>
    <row r="455" spans="1:43" ht="13.8" thickBot="1" x14ac:dyDescent="0.3">
      <c r="A455" s="68">
        <v>39</v>
      </c>
      <c r="B455" s="54"/>
      <c r="C455" s="54"/>
      <c r="D455" s="66"/>
      <c r="E455" s="66"/>
      <c r="F455" s="54"/>
      <c r="G455" s="54"/>
      <c r="H455" s="30">
        <v>0</v>
      </c>
      <c r="I455" s="30">
        <v>0</v>
      </c>
      <c r="J455" s="30">
        <v>0</v>
      </c>
      <c r="K455" s="30">
        <v>0</v>
      </c>
      <c r="L455" s="30">
        <v>0</v>
      </c>
      <c r="M455" s="30">
        <v>0</v>
      </c>
      <c r="N455" s="30">
        <v>0</v>
      </c>
      <c r="O455" s="30">
        <v>0</v>
      </c>
      <c r="P455" s="30">
        <v>0</v>
      </c>
      <c r="Q455" s="30">
        <v>0</v>
      </c>
      <c r="R455" s="30">
        <v>0</v>
      </c>
      <c r="S455" s="30">
        <v>0</v>
      </c>
      <c r="T455" s="30">
        <v>0</v>
      </c>
      <c r="U455" s="30">
        <v>0</v>
      </c>
      <c r="V455" s="30">
        <v>0</v>
      </c>
      <c r="W455" s="30">
        <v>0</v>
      </c>
      <c r="X455" s="30">
        <v>0</v>
      </c>
      <c r="Y455" s="30">
        <v>0</v>
      </c>
      <c r="Z455" s="30">
        <v>0</v>
      </c>
      <c r="AA455" s="30">
        <v>0</v>
      </c>
      <c r="AB455" s="30">
        <v>0</v>
      </c>
      <c r="AC455" s="30">
        <v>0</v>
      </c>
      <c r="AD455" s="30">
        <v>0</v>
      </c>
      <c r="AE455" s="30">
        <v>0</v>
      </c>
      <c r="AF455" s="30">
        <v>0</v>
      </c>
      <c r="AG455" s="30">
        <v>0</v>
      </c>
      <c r="AH455" s="30">
        <v>0</v>
      </c>
      <c r="AI455" s="30">
        <v>0</v>
      </c>
      <c r="AJ455" s="30">
        <v>0</v>
      </c>
      <c r="AK455" s="30">
        <v>0</v>
      </c>
      <c r="AL455" s="30">
        <v>0</v>
      </c>
      <c r="AM455" s="55">
        <f t="shared" si="56"/>
        <v>0</v>
      </c>
      <c r="AN455" s="55">
        <f t="shared" si="57"/>
        <v>0</v>
      </c>
      <c r="AO455" s="72"/>
      <c r="AP455" s="74" t="str">
        <f t="shared" si="58"/>
        <v/>
      </c>
      <c r="AQ455" s="74" t="str">
        <f t="shared" si="59"/>
        <v/>
      </c>
    </row>
    <row r="456" spans="1:43" ht="18.600000000000001" customHeight="1" thickBot="1" x14ac:dyDescent="0.3">
      <c r="A456" s="92"/>
      <c r="B456" s="93"/>
      <c r="C456" s="42"/>
      <c r="D456" s="42"/>
      <c r="E456" s="42"/>
      <c r="F456" s="42"/>
      <c r="G456" s="42"/>
      <c r="H456" s="55">
        <f t="shared" ref="H456:AN456" si="60">SUM(H416:H455)</f>
        <v>0</v>
      </c>
      <c r="I456" s="55">
        <f t="shared" si="60"/>
        <v>0</v>
      </c>
      <c r="J456" s="55">
        <f t="shared" si="60"/>
        <v>0</v>
      </c>
      <c r="K456" s="55">
        <f t="shared" si="60"/>
        <v>0</v>
      </c>
      <c r="L456" s="55">
        <f t="shared" si="60"/>
        <v>0</v>
      </c>
      <c r="M456" s="55">
        <f t="shared" si="60"/>
        <v>0</v>
      </c>
      <c r="N456" s="55">
        <f t="shared" si="60"/>
        <v>0</v>
      </c>
      <c r="O456" s="55">
        <f t="shared" si="60"/>
        <v>0</v>
      </c>
      <c r="P456" s="55">
        <f t="shared" si="60"/>
        <v>0</v>
      </c>
      <c r="Q456" s="55">
        <f t="shared" si="60"/>
        <v>0</v>
      </c>
      <c r="R456" s="55">
        <f t="shared" si="60"/>
        <v>0</v>
      </c>
      <c r="S456" s="55">
        <f t="shared" si="60"/>
        <v>0</v>
      </c>
      <c r="T456" s="55">
        <f t="shared" si="60"/>
        <v>0</v>
      </c>
      <c r="U456" s="55">
        <f t="shared" si="60"/>
        <v>0</v>
      </c>
      <c r="V456" s="55">
        <f t="shared" si="60"/>
        <v>0</v>
      </c>
      <c r="W456" s="55">
        <f t="shared" si="60"/>
        <v>0</v>
      </c>
      <c r="X456" s="55">
        <f t="shared" si="60"/>
        <v>0</v>
      </c>
      <c r="Y456" s="55">
        <f t="shared" si="60"/>
        <v>0</v>
      </c>
      <c r="Z456" s="55">
        <f t="shared" si="60"/>
        <v>0</v>
      </c>
      <c r="AA456" s="55">
        <f t="shared" si="60"/>
        <v>0</v>
      </c>
      <c r="AB456" s="55">
        <f t="shared" si="60"/>
        <v>0</v>
      </c>
      <c r="AC456" s="55">
        <f t="shared" si="60"/>
        <v>0</v>
      </c>
      <c r="AD456" s="55">
        <f t="shared" si="60"/>
        <v>0</v>
      </c>
      <c r="AE456" s="55">
        <f t="shared" si="60"/>
        <v>0</v>
      </c>
      <c r="AF456" s="55">
        <f t="shared" si="60"/>
        <v>0</v>
      </c>
      <c r="AG456" s="55">
        <f t="shared" si="60"/>
        <v>0</v>
      </c>
      <c r="AH456" s="55">
        <f t="shared" si="60"/>
        <v>0</v>
      </c>
      <c r="AI456" s="55">
        <f t="shared" si="60"/>
        <v>0</v>
      </c>
      <c r="AJ456" s="55">
        <f t="shared" si="60"/>
        <v>0</v>
      </c>
      <c r="AK456" s="55">
        <f t="shared" si="60"/>
        <v>0</v>
      </c>
      <c r="AL456" s="55">
        <f t="shared" si="60"/>
        <v>0</v>
      </c>
      <c r="AM456" s="30">
        <f t="shared" si="60"/>
        <v>0</v>
      </c>
      <c r="AN456" s="30">
        <f t="shared" si="60"/>
        <v>0</v>
      </c>
    </row>
    <row r="458" spans="1:43" ht="15.6" customHeight="1" x14ac:dyDescent="0.25">
      <c r="A458" s="92" t="s">
        <v>174</v>
      </c>
      <c r="B458" s="93"/>
      <c r="C458" s="42"/>
      <c r="D458" s="42"/>
      <c r="E458" s="42"/>
      <c r="F458" s="42"/>
      <c r="G458" s="42"/>
      <c r="H458" s="111">
        <v>45962</v>
      </c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  <c r="AA458" s="112"/>
      <c r="AB458" s="112"/>
      <c r="AC458" s="112"/>
      <c r="AD458" s="112"/>
      <c r="AE458" s="112"/>
      <c r="AF458" s="112"/>
      <c r="AG458" s="112"/>
      <c r="AH458" s="112"/>
      <c r="AI458" s="112"/>
      <c r="AJ458" s="112"/>
      <c r="AK458" s="112"/>
      <c r="AL458" s="112"/>
      <c r="AM458" s="140" t="s">
        <v>954</v>
      </c>
      <c r="AN458" s="146" t="s">
        <v>953</v>
      </c>
      <c r="AO458" s="148" t="s">
        <v>955</v>
      </c>
      <c r="AP458" s="144" t="s">
        <v>958</v>
      </c>
      <c r="AQ458" s="144"/>
    </row>
    <row r="459" spans="1:43" ht="35.4" customHeight="1" thickBot="1" x14ac:dyDescent="0.3">
      <c r="A459" s="138" t="s">
        <v>948</v>
      </c>
      <c r="B459" s="138" t="s">
        <v>947</v>
      </c>
      <c r="C459" s="138" t="s">
        <v>959</v>
      </c>
      <c r="D459" s="138" t="s">
        <v>949</v>
      </c>
      <c r="E459" s="138"/>
      <c r="F459" s="154" t="s">
        <v>192</v>
      </c>
      <c r="G459" s="142" t="s">
        <v>193</v>
      </c>
      <c r="H459" s="45">
        <v>1</v>
      </c>
      <c r="I459" s="45">
        <v>2</v>
      </c>
      <c r="J459" s="45">
        <v>3</v>
      </c>
      <c r="K459" s="45">
        <v>4</v>
      </c>
      <c r="L459" s="45">
        <v>5</v>
      </c>
      <c r="M459" s="45">
        <v>6</v>
      </c>
      <c r="N459" s="45">
        <v>7</v>
      </c>
      <c r="O459" s="45">
        <v>8</v>
      </c>
      <c r="P459" s="45">
        <v>9</v>
      </c>
      <c r="Q459" s="45">
        <v>10</v>
      </c>
      <c r="R459" s="45">
        <v>11</v>
      </c>
      <c r="S459" s="45">
        <v>12</v>
      </c>
      <c r="T459" s="45">
        <v>13</v>
      </c>
      <c r="U459" s="45">
        <v>14</v>
      </c>
      <c r="V459" s="45">
        <v>15</v>
      </c>
      <c r="W459" s="45">
        <v>16</v>
      </c>
      <c r="X459" s="45">
        <v>17</v>
      </c>
      <c r="Y459" s="45">
        <v>18</v>
      </c>
      <c r="Z459" s="45">
        <v>19</v>
      </c>
      <c r="AA459" s="45">
        <v>20</v>
      </c>
      <c r="AB459" s="45">
        <v>21</v>
      </c>
      <c r="AC459" s="45">
        <v>22</v>
      </c>
      <c r="AD459" s="45">
        <v>23</v>
      </c>
      <c r="AE459" s="45">
        <v>24</v>
      </c>
      <c r="AF459" s="45">
        <v>25</v>
      </c>
      <c r="AG459" s="45">
        <v>26</v>
      </c>
      <c r="AH459" s="45">
        <v>27</v>
      </c>
      <c r="AI459" s="45">
        <v>28</v>
      </c>
      <c r="AJ459" s="45">
        <v>29</v>
      </c>
      <c r="AK459" s="45">
        <v>30</v>
      </c>
      <c r="AL459" s="45"/>
      <c r="AM459" s="140"/>
      <c r="AN459" s="146"/>
      <c r="AO459" s="148"/>
      <c r="AP459" s="150" t="s">
        <v>956</v>
      </c>
      <c r="AQ459" s="152" t="s">
        <v>957</v>
      </c>
    </row>
    <row r="460" spans="1:43" ht="13.8" thickBot="1" x14ac:dyDescent="0.3">
      <c r="A460" s="139"/>
      <c r="B460" s="139"/>
      <c r="C460" s="145"/>
      <c r="D460" s="64" t="s">
        <v>950</v>
      </c>
      <c r="E460" s="64" t="s">
        <v>951</v>
      </c>
      <c r="F460" s="155"/>
      <c r="G460" s="143"/>
      <c r="H460" s="28" t="s">
        <v>182</v>
      </c>
      <c r="I460" s="28" t="s">
        <v>183</v>
      </c>
      <c r="J460" s="28" t="s">
        <v>179</v>
      </c>
      <c r="K460" s="28" t="s">
        <v>24</v>
      </c>
      <c r="L460" s="28" t="s">
        <v>24</v>
      </c>
      <c r="M460" s="28" t="s">
        <v>180</v>
      </c>
      <c r="N460" s="28" t="s">
        <v>181</v>
      </c>
      <c r="O460" s="28" t="s">
        <v>182</v>
      </c>
      <c r="P460" s="28" t="s">
        <v>183</v>
      </c>
      <c r="Q460" s="28" t="s">
        <v>179</v>
      </c>
      <c r="R460" s="28" t="s">
        <v>24</v>
      </c>
      <c r="S460" s="28" t="s">
        <v>24</v>
      </c>
      <c r="T460" s="28" t="s">
        <v>180</v>
      </c>
      <c r="U460" s="28" t="s">
        <v>181</v>
      </c>
      <c r="V460" s="28" t="s">
        <v>182</v>
      </c>
      <c r="W460" s="28" t="s">
        <v>183</v>
      </c>
      <c r="X460" s="28" t="s">
        <v>179</v>
      </c>
      <c r="Y460" s="28" t="s">
        <v>24</v>
      </c>
      <c r="Z460" s="28" t="s">
        <v>24</v>
      </c>
      <c r="AA460" s="28" t="s">
        <v>180</v>
      </c>
      <c r="AB460" s="28" t="s">
        <v>181</v>
      </c>
      <c r="AC460" s="28" t="s">
        <v>182</v>
      </c>
      <c r="AD460" s="28" t="s">
        <v>183</v>
      </c>
      <c r="AE460" s="28" t="s">
        <v>179</v>
      </c>
      <c r="AF460" s="28" t="s">
        <v>24</v>
      </c>
      <c r="AG460" s="28" t="s">
        <v>24</v>
      </c>
      <c r="AH460" s="28" t="s">
        <v>180</v>
      </c>
      <c r="AI460" s="28" t="s">
        <v>181</v>
      </c>
      <c r="AJ460" s="28" t="s">
        <v>182</v>
      </c>
      <c r="AK460" s="28" t="s">
        <v>183</v>
      </c>
      <c r="AL460" s="28"/>
      <c r="AM460" s="141"/>
      <c r="AN460" s="147"/>
      <c r="AO460" s="149"/>
      <c r="AP460" s="151"/>
      <c r="AQ460" s="153"/>
    </row>
    <row r="461" spans="1:43" ht="13.8" thickBot="1" x14ac:dyDescent="0.3">
      <c r="A461" s="68">
        <v>1</v>
      </c>
      <c r="B461" s="67" t="s">
        <v>965</v>
      </c>
      <c r="C461" s="66" t="s">
        <v>960</v>
      </c>
      <c r="D461" s="66" t="s">
        <v>213</v>
      </c>
      <c r="E461" s="69" t="s">
        <v>197</v>
      </c>
      <c r="F461" s="54"/>
      <c r="G461" s="54"/>
      <c r="H461" s="30">
        <v>0</v>
      </c>
      <c r="I461" s="30">
        <v>0</v>
      </c>
      <c r="J461" s="30">
        <v>0</v>
      </c>
      <c r="K461" s="30">
        <v>0</v>
      </c>
      <c r="L461" s="30">
        <v>0</v>
      </c>
      <c r="M461" s="30">
        <v>0</v>
      </c>
      <c r="N461" s="30">
        <v>0</v>
      </c>
      <c r="O461" s="30">
        <v>0</v>
      </c>
      <c r="P461" s="30">
        <v>0</v>
      </c>
      <c r="Q461" s="30">
        <v>0</v>
      </c>
      <c r="R461" s="30">
        <v>0</v>
      </c>
      <c r="S461" s="30">
        <v>0</v>
      </c>
      <c r="T461" s="30">
        <v>0</v>
      </c>
      <c r="U461" s="30">
        <v>0</v>
      </c>
      <c r="V461" s="30">
        <v>0</v>
      </c>
      <c r="W461" s="30">
        <v>0</v>
      </c>
      <c r="X461" s="30">
        <v>0</v>
      </c>
      <c r="Y461" s="30">
        <v>0</v>
      </c>
      <c r="Z461" s="30">
        <v>0</v>
      </c>
      <c r="AA461" s="30">
        <v>0</v>
      </c>
      <c r="AB461" s="30">
        <v>0</v>
      </c>
      <c r="AC461" s="30">
        <v>0</v>
      </c>
      <c r="AD461" s="30">
        <v>0</v>
      </c>
      <c r="AE461" s="30">
        <v>0</v>
      </c>
      <c r="AF461" s="30">
        <v>0</v>
      </c>
      <c r="AG461" s="30">
        <v>0</v>
      </c>
      <c r="AH461" s="30">
        <v>0</v>
      </c>
      <c r="AI461" s="30">
        <v>0</v>
      </c>
      <c r="AJ461" s="30">
        <v>0</v>
      </c>
      <c r="AK461" s="30">
        <v>0</v>
      </c>
      <c r="AL461" s="30"/>
      <c r="AM461" s="55">
        <f>SUM(H461:AL461)</f>
        <v>0</v>
      </c>
      <c r="AN461" s="55">
        <f>F461+G461-AM461</f>
        <v>0</v>
      </c>
      <c r="AO461" s="72"/>
      <c r="AP461" s="74" t="str">
        <f>IF(AO461="","",IF($A$2&lt;=AO461,IF((AO461-$A$2)&lt;=90,"ALERTA","A TIEMPO"),"CADUCADO"))</f>
        <v/>
      </c>
      <c r="AQ461" s="74" t="str">
        <f>IF(AO461="","",AO461-$A$2)</f>
        <v/>
      </c>
    </row>
    <row r="462" spans="1:43" ht="13.8" thickBot="1" x14ac:dyDescent="0.3">
      <c r="A462" s="68">
        <v>2</v>
      </c>
      <c r="B462" s="67" t="s">
        <v>965</v>
      </c>
      <c r="C462" s="66" t="s">
        <v>960</v>
      </c>
      <c r="D462" s="66" t="s">
        <v>224</v>
      </c>
      <c r="E462" s="71">
        <v>0.01</v>
      </c>
      <c r="F462" s="54"/>
      <c r="G462" s="54"/>
      <c r="H462" s="30">
        <v>0</v>
      </c>
      <c r="I462" s="30">
        <v>0</v>
      </c>
      <c r="J462" s="30">
        <v>0</v>
      </c>
      <c r="K462" s="30">
        <v>0</v>
      </c>
      <c r="L462" s="30">
        <v>0</v>
      </c>
      <c r="M462" s="30">
        <v>0</v>
      </c>
      <c r="N462" s="30">
        <v>0</v>
      </c>
      <c r="O462" s="30">
        <v>0</v>
      </c>
      <c r="P462" s="30">
        <v>0</v>
      </c>
      <c r="Q462" s="30">
        <v>0</v>
      </c>
      <c r="R462" s="30">
        <v>0</v>
      </c>
      <c r="S462" s="30">
        <v>0</v>
      </c>
      <c r="T462" s="30">
        <v>0</v>
      </c>
      <c r="U462" s="30">
        <v>0</v>
      </c>
      <c r="V462" s="30">
        <v>0</v>
      </c>
      <c r="W462" s="30">
        <v>0</v>
      </c>
      <c r="X462" s="30">
        <v>0</v>
      </c>
      <c r="Y462" s="30">
        <v>0</v>
      </c>
      <c r="Z462" s="30">
        <v>0</v>
      </c>
      <c r="AA462" s="30">
        <v>0</v>
      </c>
      <c r="AB462" s="30">
        <v>0</v>
      </c>
      <c r="AC462" s="30">
        <v>0</v>
      </c>
      <c r="AD462" s="30">
        <v>0</v>
      </c>
      <c r="AE462" s="30">
        <v>0</v>
      </c>
      <c r="AF462" s="30">
        <v>0</v>
      </c>
      <c r="AG462" s="30">
        <v>0</v>
      </c>
      <c r="AH462" s="30">
        <v>0</v>
      </c>
      <c r="AI462" s="30">
        <v>0</v>
      </c>
      <c r="AJ462" s="30">
        <v>0</v>
      </c>
      <c r="AK462" s="30">
        <v>0</v>
      </c>
      <c r="AL462" s="30"/>
      <c r="AM462" s="55">
        <f t="shared" ref="AM462:AM500" si="61">SUM(H462:AL462)</f>
        <v>0</v>
      </c>
      <c r="AN462" s="55">
        <f t="shared" ref="AN462:AN500" si="62">F462+G462-AM462</f>
        <v>0</v>
      </c>
      <c r="AO462" s="72"/>
      <c r="AP462" s="74" t="str">
        <f t="shared" ref="AP462:AP500" si="63">IF(AO462="","",IF($A$2&lt;=AO462,IF((AO462-$A$2)&lt;=90,"ALERTA","A TIEMPO"),"CADUCADO"))</f>
        <v/>
      </c>
      <c r="AQ462" s="74" t="str">
        <f t="shared" ref="AQ462:AQ500" si="64">IF(AO462="","",AO462-$A$2)</f>
        <v/>
      </c>
    </row>
    <row r="463" spans="1:43" ht="13.8" thickBot="1" x14ac:dyDescent="0.3">
      <c r="A463" s="68">
        <v>3</v>
      </c>
      <c r="B463" s="67" t="s">
        <v>211</v>
      </c>
      <c r="C463" s="66" t="s">
        <v>960</v>
      </c>
      <c r="D463" s="66" t="s">
        <v>198</v>
      </c>
      <c r="E463" s="69" t="s">
        <v>964</v>
      </c>
      <c r="F463" s="54"/>
      <c r="G463" s="54"/>
      <c r="H463" s="30">
        <v>0</v>
      </c>
      <c r="I463" s="30">
        <v>0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0</v>
      </c>
      <c r="P463" s="30">
        <v>0</v>
      </c>
      <c r="Q463" s="30">
        <v>0</v>
      </c>
      <c r="R463" s="30">
        <v>0</v>
      </c>
      <c r="S463" s="30">
        <v>0</v>
      </c>
      <c r="T463" s="30">
        <v>0</v>
      </c>
      <c r="U463" s="30">
        <v>0</v>
      </c>
      <c r="V463" s="30">
        <v>0</v>
      </c>
      <c r="W463" s="30">
        <v>0</v>
      </c>
      <c r="X463" s="30">
        <v>0</v>
      </c>
      <c r="Y463" s="30">
        <v>0</v>
      </c>
      <c r="Z463" s="30">
        <v>0</v>
      </c>
      <c r="AA463" s="30">
        <v>0</v>
      </c>
      <c r="AB463" s="30">
        <v>0</v>
      </c>
      <c r="AC463" s="30">
        <v>0</v>
      </c>
      <c r="AD463" s="30">
        <v>0</v>
      </c>
      <c r="AE463" s="30">
        <v>0</v>
      </c>
      <c r="AF463" s="30">
        <v>0</v>
      </c>
      <c r="AG463" s="30">
        <v>0</v>
      </c>
      <c r="AH463" s="30">
        <v>0</v>
      </c>
      <c r="AI463" s="30">
        <v>0</v>
      </c>
      <c r="AJ463" s="30">
        <v>0</v>
      </c>
      <c r="AK463" s="30">
        <v>0</v>
      </c>
      <c r="AL463" s="30"/>
      <c r="AM463" s="55">
        <f t="shared" si="61"/>
        <v>0</v>
      </c>
      <c r="AN463" s="55">
        <f t="shared" si="62"/>
        <v>0</v>
      </c>
      <c r="AO463" s="72"/>
      <c r="AP463" s="74" t="str">
        <f t="shared" si="63"/>
        <v/>
      </c>
      <c r="AQ463" s="74" t="str">
        <f t="shared" si="64"/>
        <v/>
      </c>
    </row>
    <row r="464" spans="1:43" ht="13.8" thickBot="1" x14ac:dyDescent="0.3">
      <c r="A464" s="68">
        <v>4</v>
      </c>
      <c r="B464" s="67" t="s">
        <v>985</v>
      </c>
      <c r="C464" s="66" t="s">
        <v>960</v>
      </c>
      <c r="D464" s="66" t="s">
        <v>198</v>
      </c>
      <c r="E464" s="70" t="s">
        <v>986</v>
      </c>
      <c r="F464" s="54"/>
      <c r="G464" s="54"/>
      <c r="H464" s="30">
        <v>0</v>
      </c>
      <c r="I464" s="30">
        <v>0</v>
      </c>
      <c r="J464" s="30">
        <v>0</v>
      </c>
      <c r="K464" s="30">
        <v>0</v>
      </c>
      <c r="L464" s="30">
        <v>0</v>
      </c>
      <c r="M464" s="30">
        <v>0</v>
      </c>
      <c r="N464" s="30">
        <v>0</v>
      </c>
      <c r="O464" s="30">
        <v>0</v>
      </c>
      <c r="P464" s="30">
        <v>0</v>
      </c>
      <c r="Q464" s="30">
        <v>0</v>
      </c>
      <c r="R464" s="30">
        <v>0</v>
      </c>
      <c r="S464" s="30">
        <v>0</v>
      </c>
      <c r="T464" s="30">
        <v>0</v>
      </c>
      <c r="U464" s="30">
        <v>0</v>
      </c>
      <c r="V464" s="30">
        <v>0</v>
      </c>
      <c r="W464" s="30">
        <v>0</v>
      </c>
      <c r="X464" s="30">
        <v>0</v>
      </c>
      <c r="Y464" s="30">
        <v>0</v>
      </c>
      <c r="Z464" s="30">
        <v>0</v>
      </c>
      <c r="AA464" s="30">
        <v>0</v>
      </c>
      <c r="AB464" s="30">
        <v>0</v>
      </c>
      <c r="AC464" s="30">
        <v>0</v>
      </c>
      <c r="AD464" s="30">
        <v>0</v>
      </c>
      <c r="AE464" s="30">
        <v>0</v>
      </c>
      <c r="AF464" s="30">
        <v>0</v>
      </c>
      <c r="AG464" s="30">
        <v>0</v>
      </c>
      <c r="AH464" s="30">
        <v>0</v>
      </c>
      <c r="AI464" s="30">
        <v>0</v>
      </c>
      <c r="AJ464" s="30">
        <v>0</v>
      </c>
      <c r="AK464" s="30">
        <v>0</v>
      </c>
      <c r="AL464" s="30"/>
      <c r="AM464" s="55">
        <f t="shared" si="61"/>
        <v>0</v>
      </c>
      <c r="AN464" s="55">
        <f t="shared" si="62"/>
        <v>0</v>
      </c>
      <c r="AO464" s="72"/>
      <c r="AP464" s="74" t="str">
        <f t="shared" si="63"/>
        <v/>
      </c>
      <c r="AQ464" s="74" t="str">
        <f t="shared" si="64"/>
        <v/>
      </c>
    </row>
    <row r="465" spans="1:43" ht="13.8" thickBot="1" x14ac:dyDescent="0.3">
      <c r="A465" s="68">
        <v>4</v>
      </c>
      <c r="B465" s="67" t="s">
        <v>963</v>
      </c>
      <c r="C465" s="66" t="s">
        <v>960</v>
      </c>
      <c r="D465" s="66" t="s">
        <v>213</v>
      </c>
      <c r="E465" s="70" t="s">
        <v>13</v>
      </c>
      <c r="F465" s="54"/>
      <c r="G465" s="54"/>
      <c r="H465" s="30">
        <v>0</v>
      </c>
      <c r="I465" s="30">
        <v>0</v>
      </c>
      <c r="J465" s="30">
        <v>0</v>
      </c>
      <c r="K465" s="30">
        <v>0</v>
      </c>
      <c r="L465" s="30">
        <v>0</v>
      </c>
      <c r="M465" s="30">
        <v>0</v>
      </c>
      <c r="N465" s="30">
        <v>0</v>
      </c>
      <c r="O465" s="30">
        <v>0</v>
      </c>
      <c r="P465" s="30">
        <v>0</v>
      </c>
      <c r="Q465" s="30">
        <v>0</v>
      </c>
      <c r="R465" s="30">
        <v>0</v>
      </c>
      <c r="S465" s="30">
        <v>0</v>
      </c>
      <c r="T465" s="30">
        <v>0</v>
      </c>
      <c r="U465" s="30">
        <v>0</v>
      </c>
      <c r="V465" s="30">
        <v>0</v>
      </c>
      <c r="W465" s="30">
        <v>0</v>
      </c>
      <c r="X465" s="30">
        <v>0</v>
      </c>
      <c r="Y465" s="30">
        <v>0</v>
      </c>
      <c r="Z465" s="30">
        <v>0</v>
      </c>
      <c r="AA465" s="30">
        <v>0</v>
      </c>
      <c r="AB465" s="30">
        <v>0</v>
      </c>
      <c r="AC465" s="30">
        <v>0</v>
      </c>
      <c r="AD465" s="30">
        <v>0</v>
      </c>
      <c r="AE465" s="30">
        <v>0</v>
      </c>
      <c r="AF465" s="30">
        <v>0</v>
      </c>
      <c r="AG465" s="30">
        <v>0</v>
      </c>
      <c r="AH465" s="30">
        <v>0</v>
      </c>
      <c r="AI465" s="30">
        <v>0</v>
      </c>
      <c r="AJ465" s="30">
        <v>0</v>
      </c>
      <c r="AK465" s="30">
        <v>0</v>
      </c>
      <c r="AL465" s="30"/>
      <c r="AM465" s="55">
        <f t="shared" si="61"/>
        <v>0</v>
      </c>
      <c r="AN465" s="55">
        <f t="shared" si="62"/>
        <v>0</v>
      </c>
      <c r="AO465" s="72"/>
      <c r="AP465" s="74" t="str">
        <f t="shared" si="63"/>
        <v/>
      </c>
      <c r="AQ465" s="74" t="str">
        <f t="shared" si="64"/>
        <v/>
      </c>
    </row>
    <row r="466" spans="1:43" ht="13.8" thickBot="1" x14ac:dyDescent="0.3">
      <c r="A466" s="68">
        <v>5</v>
      </c>
      <c r="B466" s="67" t="s">
        <v>228</v>
      </c>
      <c r="C466" s="66" t="s">
        <v>960</v>
      </c>
      <c r="D466" s="66" t="s">
        <v>213</v>
      </c>
      <c r="E466" s="69" t="s">
        <v>229</v>
      </c>
      <c r="F466" s="54"/>
      <c r="G466" s="54"/>
      <c r="H466" s="30">
        <v>0</v>
      </c>
      <c r="I466" s="30">
        <v>0</v>
      </c>
      <c r="J466" s="30">
        <v>0</v>
      </c>
      <c r="K466" s="30">
        <v>0</v>
      </c>
      <c r="L466" s="30">
        <v>0</v>
      </c>
      <c r="M466" s="30">
        <v>0</v>
      </c>
      <c r="N466" s="30">
        <v>0</v>
      </c>
      <c r="O466" s="30">
        <v>0</v>
      </c>
      <c r="P466" s="30">
        <v>0</v>
      </c>
      <c r="Q466" s="30">
        <v>0</v>
      </c>
      <c r="R466" s="30">
        <v>0</v>
      </c>
      <c r="S466" s="30">
        <v>0</v>
      </c>
      <c r="T466" s="30">
        <v>0</v>
      </c>
      <c r="U466" s="30">
        <v>0</v>
      </c>
      <c r="V466" s="30">
        <v>0</v>
      </c>
      <c r="W466" s="30">
        <v>0</v>
      </c>
      <c r="X466" s="30">
        <v>0</v>
      </c>
      <c r="Y466" s="30">
        <v>0</v>
      </c>
      <c r="Z466" s="30">
        <v>0</v>
      </c>
      <c r="AA466" s="30">
        <v>0</v>
      </c>
      <c r="AB466" s="30">
        <v>0</v>
      </c>
      <c r="AC466" s="30">
        <v>0</v>
      </c>
      <c r="AD466" s="30">
        <v>0</v>
      </c>
      <c r="AE466" s="30">
        <v>0</v>
      </c>
      <c r="AF466" s="30">
        <v>0</v>
      </c>
      <c r="AG466" s="30">
        <v>0</v>
      </c>
      <c r="AH466" s="30">
        <v>0</v>
      </c>
      <c r="AI466" s="30">
        <v>0</v>
      </c>
      <c r="AJ466" s="30">
        <v>0</v>
      </c>
      <c r="AK466" s="30">
        <v>0</v>
      </c>
      <c r="AL466" s="30"/>
      <c r="AM466" s="55">
        <f t="shared" si="61"/>
        <v>0</v>
      </c>
      <c r="AN466" s="55">
        <f t="shared" si="62"/>
        <v>0</v>
      </c>
      <c r="AO466" s="72"/>
      <c r="AP466" s="74" t="str">
        <f t="shared" si="63"/>
        <v/>
      </c>
      <c r="AQ466" s="74" t="str">
        <f t="shared" si="64"/>
        <v/>
      </c>
    </row>
    <row r="467" spans="1:43" ht="13.8" thickBot="1" x14ac:dyDescent="0.3">
      <c r="A467" s="68">
        <v>6</v>
      </c>
      <c r="B467" s="67" t="s">
        <v>968</v>
      </c>
      <c r="C467" s="66" t="s">
        <v>960</v>
      </c>
      <c r="D467" s="66" t="s">
        <v>198</v>
      </c>
      <c r="E467" s="69" t="s">
        <v>199</v>
      </c>
      <c r="F467" s="54"/>
      <c r="G467" s="54"/>
      <c r="H467" s="30">
        <v>0</v>
      </c>
      <c r="I467" s="30">
        <v>0</v>
      </c>
      <c r="J467" s="30">
        <v>0</v>
      </c>
      <c r="K467" s="30">
        <v>0</v>
      </c>
      <c r="L467" s="30">
        <v>0</v>
      </c>
      <c r="M467" s="30">
        <v>0</v>
      </c>
      <c r="N467" s="30">
        <v>0</v>
      </c>
      <c r="O467" s="30">
        <v>0</v>
      </c>
      <c r="P467" s="30">
        <v>0</v>
      </c>
      <c r="Q467" s="30">
        <v>0</v>
      </c>
      <c r="R467" s="30">
        <v>0</v>
      </c>
      <c r="S467" s="30">
        <v>0</v>
      </c>
      <c r="T467" s="30">
        <v>0</v>
      </c>
      <c r="U467" s="30">
        <v>0</v>
      </c>
      <c r="V467" s="30">
        <v>0</v>
      </c>
      <c r="W467" s="30">
        <v>0</v>
      </c>
      <c r="X467" s="30">
        <v>0</v>
      </c>
      <c r="Y467" s="30">
        <v>0</v>
      </c>
      <c r="Z467" s="30">
        <v>0</v>
      </c>
      <c r="AA467" s="30">
        <v>0</v>
      </c>
      <c r="AB467" s="30">
        <v>0</v>
      </c>
      <c r="AC467" s="30">
        <v>0</v>
      </c>
      <c r="AD467" s="30">
        <v>0</v>
      </c>
      <c r="AE467" s="30">
        <v>0</v>
      </c>
      <c r="AF467" s="30">
        <v>0</v>
      </c>
      <c r="AG467" s="30">
        <v>0</v>
      </c>
      <c r="AH467" s="30">
        <v>0</v>
      </c>
      <c r="AI467" s="30">
        <v>0</v>
      </c>
      <c r="AJ467" s="30">
        <v>0</v>
      </c>
      <c r="AK467" s="30">
        <v>0</v>
      </c>
      <c r="AL467" s="30"/>
      <c r="AM467" s="55">
        <f t="shared" si="61"/>
        <v>0</v>
      </c>
      <c r="AN467" s="55">
        <f t="shared" si="62"/>
        <v>0</v>
      </c>
      <c r="AO467" s="72"/>
      <c r="AP467" s="74" t="str">
        <f t="shared" si="63"/>
        <v/>
      </c>
      <c r="AQ467" s="74" t="str">
        <f t="shared" si="64"/>
        <v/>
      </c>
    </row>
    <row r="468" spans="1:43" ht="13.8" thickBot="1" x14ac:dyDescent="0.3">
      <c r="A468" s="68">
        <v>7</v>
      </c>
      <c r="B468" s="67" t="s">
        <v>220</v>
      </c>
      <c r="C468" s="66" t="s">
        <v>960</v>
      </c>
      <c r="D468" s="66" t="s">
        <v>198</v>
      </c>
      <c r="E468" s="69" t="s">
        <v>195</v>
      </c>
      <c r="F468" s="54"/>
      <c r="G468" s="54"/>
      <c r="H468" s="30">
        <v>0</v>
      </c>
      <c r="I468" s="30">
        <v>0</v>
      </c>
      <c r="J468" s="30">
        <v>0</v>
      </c>
      <c r="K468" s="30">
        <v>0</v>
      </c>
      <c r="L468" s="30">
        <v>0</v>
      </c>
      <c r="M468" s="30">
        <v>0</v>
      </c>
      <c r="N468" s="30">
        <v>0</v>
      </c>
      <c r="O468" s="30">
        <v>0</v>
      </c>
      <c r="P468" s="30">
        <v>0</v>
      </c>
      <c r="Q468" s="30">
        <v>0</v>
      </c>
      <c r="R468" s="30">
        <v>0</v>
      </c>
      <c r="S468" s="30">
        <v>0</v>
      </c>
      <c r="T468" s="30">
        <v>0</v>
      </c>
      <c r="U468" s="30">
        <v>0</v>
      </c>
      <c r="V468" s="30">
        <v>0</v>
      </c>
      <c r="W468" s="30">
        <v>0</v>
      </c>
      <c r="X468" s="30">
        <v>0</v>
      </c>
      <c r="Y468" s="30">
        <v>0</v>
      </c>
      <c r="Z468" s="30">
        <v>0</v>
      </c>
      <c r="AA468" s="30">
        <v>0</v>
      </c>
      <c r="AB468" s="30">
        <v>0</v>
      </c>
      <c r="AC468" s="30">
        <v>0</v>
      </c>
      <c r="AD468" s="30">
        <v>0</v>
      </c>
      <c r="AE468" s="30">
        <v>0</v>
      </c>
      <c r="AF468" s="30">
        <v>0</v>
      </c>
      <c r="AG468" s="30">
        <v>0</v>
      </c>
      <c r="AH468" s="30">
        <v>0</v>
      </c>
      <c r="AI468" s="30">
        <v>0</v>
      </c>
      <c r="AJ468" s="30">
        <v>0</v>
      </c>
      <c r="AK468" s="30">
        <v>0</v>
      </c>
      <c r="AL468" s="30"/>
      <c r="AM468" s="55">
        <f t="shared" si="61"/>
        <v>0</v>
      </c>
      <c r="AN468" s="55">
        <f t="shared" si="62"/>
        <v>0</v>
      </c>
      <c r="AO468" s="72"/>
      <c r="AP468" s="74" t="str">
        <f t="shared" si="63"/>
        <v/>
      </c>
      <c r="AQ468" s="74" t="str">
        <f t="shared" si="64"/>
        <v/>
      </c>
    </row>
    <row r="469" spans="1:43" ht="13.8" thickBot="1" x14ac:dyDescent="0.3">
      <c r="A469" s="68">
        <v>8</v>
      </c>
      <c r="B469" s="67" t="s">
        <v>962</v>
      </c>
      <c r="C469" s="66" t="s">
        <v>960</v>
      </c>
      <c r="D469" s="66" t="s">
        <v>198</v>
      </c>
      <c r="E469" s="69" t="s">
        <v>961</v>
      </c>
      <c r="F469" s="54"/>
      <c r="G469" s="54"/>
      <c r="H469" s="30">
        <v>0</v>
      </c>
      <c r="I469" s="30">
        <v>0</v>
      </c>
      <c r="J469" s="30">
        <v>0</v>
      </c>
      <c r="K469" s="30">
        <v>0</v>
      </c>
      <c r="L469" s="30">
        <v>0</v>
      </c>
      <c r="M469" s="30">
        <v>0</v>
      </c>
      <c r="N469" s="30">
        <v>0</v>
      </c>
      <c r="O469" s="30">
        <v>0</v>
      </c>
      <c r="P469" s="30">
        <v>0</v>
      </c>
      <c r="Q469" s="30">
        <v>0</v>
      </c>
      <c r="R469" s="30">
        <v>0</v>
      </c>
      <c r="S469" s="30">
        <v>0</v>
      </c>
      <c r="T469" s="30">
        <v>0</v>
      </c>
      <c r="U469" s="30">
        <v>0</v>
      </c>
      <c r="V469" s="30">
        <v>0</v>
      </c>
      <c r="W469" s="30">
        <v>0</v>
      </c>
      <c r="X469" s="30">
        <v>0</v>
      </c>
      <c r="Y469" s="30">
        <v>0</v>
      </c>
      <c r="Z469" s="30">
        <v>0</v>
      </c>
      <c r="AA469" s="30">
        <v>0</v>
      </c>
      <c r="AB469" s="30">
        <v>0</v>
      </c>
      <c r="AC469" s="30">
        <v>0</v>
      </c>
      <c r="AD469" s="30">
        <v>0</v>
      </c>
      <c r="AE469" s="30">
        <v>0</v>
      </c>
      <c r="AF469" s="30">
        <v>0</v>
      </c>
      <c r="AG469" s="30">
        <v>0</v>
      </c>
      <c r="AH469" s="30">
        <v>0</v>
      </c>
      <c r="AI469" s="30">
        <v>0</v>
      </c>
      <c r="AJ469" s="30">
        <v>0</v>
      </c>
      <c r="AK469" s="30">
        <v>0</v>
      </c>
      <c r="AL469" s="30"/>
      <c r="AM469" s="55">
        <f t="shared" si="61"/>
        <v>0</v>
      </c>
      <c r="AN469" s="55">
        <f t="shared" si="62"/>
        <v>0</v>
      </c>
      <c r="AO469" s="72"/>
      <c r="AP469" s="74" t="str">
        <f t="shared" si="63"/>
        <v/>
      </c>
      <c r="AQ469" s="74" t="str">
        <f t="shared" si="64"/>
        <v/>
      </c>
    </row>
    <row r="470" spans="1:43" ht="13.8" thickBot="1" x14ac:dyDescent="0.3">
      <c r="A470" s="68">
        <v>9</v>
      </c>
      <c r="B470" s="67" t="s">
        <v>966</v>
      </c>
      <c r="C470" s="66" t="s">
        <v>960</v>
      </c>
      <c r="D470" s="66" t="s">
        <v>201</v>
      </c>
      <c r="E470" s="69" t="s">
        <v>967</v>
      </c>
      <c r="F470" s="54"/>
      <c r="G470" s="54"/>
      <c r="H470" s="30">
        <v>0</v>
      </c>
      <c r="I470" s="30">
        <v>0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0</v>
      </c>
      <c r="Q470" s="30">
        <v>0</v>
      </c>
      <c r="R470" s="30">
        <v>0</v>
      </c>
      <c r="S470" s="30">
        <v>0</v>
      </c>
      <c r="T470" s="30">
        <v>0</v>
      </c>
      <c r="U470" s="30">
        <v>0</v>
      </c>
      <c r="V470" s="30">
        <v>0</v>
      </c>
      <c r="W470" s="30">
        <v>0</v>
      </c>
      <c r="X470" s="30">
        <v>0</v>
      </c>
      <c r="Y470" s="30">
        <v>0</v>
      </c>
      <c r="Z470" s="30">
        <v>0</v>
      </c>
      <c r="AA470" s="30">
        <v>0</v>
      </c>
      <c r="AB470" s="30">
        <v>0</v>
      </c>
      <c r="AC470" s="30">
        <v>0</v>
      </c>
      <c r="AD470" s="30">
        <v>0</v>
      </c>
      <c r="AE470" s="30">
        <v>0</v>
      </c>
      <c r="AF470" s="30">
        <v>0</v>
      </c>
      <c r="AG470" s="30">
        <v>0</v>
      </c>
      <c r="AH470" s="30">
        <v>0</v>
      </c>
      <c r="AI470" s="30">
        <v>0</v>
      </c>
      <c r="AJ470" s="30">
        <v>0</v>
      </c>
      <c r="AK470" s="30">
        <v>0</v>
      </c>
      <c r="AL470" s="30"/>
      <c r="AM470" s="55">
        <f t="shared" si="61"/>
        <v>0</v>
      </c>
      <c r="AN470" s="55">
        <f t="shared" si="62"/>
        <v>0</v>
      </c>
      <c r="AO470" s="72"/>
      <c r="AP470" s="74" t="str">
        <f t="shared" si="63"/>
        <v/>
      </c>
      <c r="AQ470" s="74" t="str">
        <f t="shared" si="64"/>
        <v/>
      </c>
    </row>
    <row r="471" spans="1:43" ht="13.8" thickBot="1" x14ac:dyDescent="0.3">
      <c r="A471" s="68">
        <v>10</v>
      </c>
      <c r="B471" s="67" t="s">
        <v>194</v>
      </c>
      <c r="C471" s="66" t="s">
        <v>969</v>
      </c>
      <c r="D471" s="66" t="s">
        <v>198</v>
      </c>
      <c r="E471" s="69" t="s">
        <v>195</v>
      </c>
      <c r="F471" s="54"/>
      <c r="G471" s="54"/>
      <c r="H471" s="30">
        <v>0</v>
      </c>
      <c r="I471" s="30">
        <v>0</v>
      </c>
      <c r="J471" s="30">
        <v>0</v>
      </c>
      <c r="K471" s="30">
        <v>0</v>
      </c>
      <c r="L471" s="30">
        <v>0</v>
      </c>
      <c r="M471" s="30">
        <v>0</v>
      </c>
      <c r="N471" s="30">
        <v>0</v>
      </c>
      <c r="O471" s="30">
        <v>0</v>
      </c>
      <c r="P471" s="30">
        <v>0</v>
      </c>
      <c r="Q471" s="30">
        <v>0</v>
      </c>
      <c r="R471" s="30">
        <v>0</v>
      </c>
      <c r="S471" s="30">
        <v>0</v>
      </c>
      <c r="T471" s="30">
        <v>0</v>
      </c>
      <c r="U471" s="30">
        <v>0</v>
      </c>
      <c r="V471" s="30">
        <v>0</v>
      </c>
      <c r="W471" s="30">
        <v>0</v>
      </c>
      <c r="X471" s="30">
        <v>0</v>
      </c>
      <c r="Y471" s="30">
        <v>0</v>
      </c>
      <c r="Z471" s="30">
        <v>0</v>
      </c>
      <c r="AA471" s="30">
        <v>0</v>
      </c>
      <c r="AB471" s="30">
        <v>0</v>
      </c>
      <c r="AC471" s="30">
        <v>0</v>
      </c>
      <c r="AD471" s="30">
        <v>0</v>
      </c>
      <c r="AE471" s="30">
        <v>0</v>
      </c>
      <c r="AF471" s="30">
        <v>0</v>
      </c>
      <c r="AG471" s="30">
        <v>0</v>
      </c>
      <c r="AH471" s="30">
        <v>0</v>
      </c>
      <c r="AI471" s="30">
        <v>0</v>
      </c>
      <c r="AJ471" s="30">
        <v>0</v>
      </c>
      <c r="AK471" s="30">
        <v>0</v>
      </c>
      <c r="AL471" s="30"/>
      <c r="AM471" s="55">
        <f t="shared" si="61"/>
        <v>0</v>
      </c>
      <c r="AN471" s="55">
        <f t="shared" si="62"/>
        <v>0</v>
      </c>
      <c r="AO471" s="72"/>
      <c r="AP471" s="74" t="str">
        <f t="shared" si="63"/>
        <v/>
      </c>
      <c r="AQ471" s="74" t="str">
        <f t="shared" si="64"/>
        <v/>
      </c>
    </row>
    <row r="472" spans="1:43" ht="13.8" thickBot="1" x14ac:dyDescent="0.3">
      <c r="A472" s="68">
        <v>11</v>
      </c>
      <c r="B472" s="67" t="s">
        <v>200</v>
      </c>
      <c r="C472" s="66" t="s">
        <v>969</v>
      </c>
      <c r="D472" s="66" t="s">
        <v>198</v>
      </c>
      <c r="E472" s="69" t="s">
        <v>970</v>
      </c>
      <c r="F472" s="54"/>
      <c r="G472" s="54"/>
      <c r="H472" s="30">
        <v>0</v>
      </c>
      <c r="I472" s="30">
        <v>0</v>
      </c>
      <c r="J472" s="30">
        <v>0</v>
      </c>
      <c r="K472" s="30">
        <v>0</v>
      </c>
      <c r="L472" s="30">
        <v>0</v>
      </c>
      <c r="M472" s="30">
        <v>0</v>
      </c>
      <c r="N472" s="30">
        <v>0</v>
      </c>
      <c r="O472" s="30">
        <v>0</v>
      </c>
      <c r="P472" s="30">
        <v>0</v>
      </c>
      <c r="Q472" s="30">
        <v>0</v>
      </c>
      <c r="R472" s="30">
        <v>0</v>
      </c>
      <c r="S472" s="30">
        <v>0</v>
      </c>
      <c r="T472" s="30">
        <v>0</v>
      </c>
      <c r="U472" s="30">
        <v>0</v>
      </c>
      <c r="V472" s="30">
        <v>0</v>
      </c>
      <c r="W472" s="30">
        <v>0</v>
      </c>
      <c r="X472" s="30">
        <v>0</v>
      </c>
      <c r="Y472" s="30">
        <v>0</v>
      </c>
      <c r="Z472" s="30">
        <v>0</v>
      </c>
      <c r="AA472" s="30">
        <v>0</v>
      </c>
      <c r="AB472" s="30">
        <v>0</v>
      </c>
      <c r="AC472" s="30">
        <v>0</v>
      </c>
      <c r="AD472" s="30">
        <v>0</v>
      </c>
      <c r="AE472" s="30">
        <v>0</v>
      </c>
      <c r="AF472" s="30">
        <v>0</v>
      </c>
      <c r="AG472" s="30">
        <v>0</v>
      </c>
      <c r="AH472" s="30">
        <v>0</v>
      </c>
      <c r="AI472" s="30">
        <v>0</v>
      </c>
      <c r="AJ472" s="30">
        <v>0</v>
      </c>
      <c r="AK472" s="30">
        <v>0</v>
      </c>
      <c r="AL472" s="30"/>
      <c r="AM472" s="55">
        <f t="shared" si="61"/>
        <v>0</v>
      </c>
      <c r="AN472" s="55">
        <f t="shared" si="62"/>
        <v>0</v>
      </c>
      <c r="AO472" s="72"/>
      <c r="AP472" s="74" t="str">
        <f t="shared" si="63"/>
        <v/>
      </c>
      <c r="AQ472" s="74" t="str">
        <f t="shared" si="64"/>
        <v/>
      </c>
    </row>
    <row r="473" spans="1:43" ht="13.8" thickBot="1" x14ac:dyDescent="0.3">
      <c r="A473" s="68">
        <v>12</v>
      </c>
      <c r="B473" s="67" t="s">
        <v>972</v>
      </c>
      <c r="C473" s="69" t="s">
        <v>971</v>
      </c>
      <c r="D473" s="66" t="s">
        <v>213</v>
      </c>
      <c r="E473" s="69" t="s">
        <v>203</v>
      </c>
      <c r="F473" s="54"/>
      <c r="G473" s="54"/>
      <c r="H473" s="30">
        <v>0</v>
      </c>
      <c r="I473" s="30">
        <v>0</v>
      </c>
      <c r="J473" s="30">
        <v>0</v>
      </c>
      <c r="K473" s="30">
        <v>0</v>
      </c>
      <c r="L473" s="30">
        <v>0</v>
      </c>
      <c r="M473" s="30">
        <v>0</v>
      </c>
      <c r="N473" s="30">
        <v>0</v>
      </c>
      <c r="O473" s="30">
        <v>0</v>
      </c>
      <c r="P473" s="30">
        <v>0</v>
      </c>
      <c r="Q473" s="30">
        <v>0</v>
      </c>
      <c r="R473" s="30">
        <v>0</v>
      </c>
      <c r="S473" s="30">
        <v>0</v>
      </c>
      <c r="T473" s="30">
        <v>0</v>
      </c>
      <c r="U473" s="30">
        <v>0</v>
      </c>
      <c r="V473" s="30">
        <v>0</v>
      </c>
      <c r="W473" s="30">
        <v>0</v>
      </c>
      <c r="X473" s="30">
        <v>0</v>
      </c>
      <c r="Y473" s="30">
        <v>0</v>
      </c>
      <c r="Z473" s="30">
        <v>0</v>
      </c>
      <c r="AA473" s="30">
        <v>0</v>
      </c>
      <c r="AB473" s="30">
        <v>0</v>
      </c>
      <c r="AC473" s="30">
        <v>0</v>
      </c>
      <c r="AD473" s="30">
        <v>0</v>
      </c>
      <c r="AE473" s="30">
        <v>0</v>
      </c>
      <c r="AF473" s="30">
        <v>0</v>
      </c>
      <c r="AG473" s="30">
        <v>0</v>
      </c>
      <c r="AH473" s="30">
        <v>0</v>
      </c>
      <c r="AI473" s="30">
        <v>0</v>
      </c>
      <c r="AJ473" s="30">
        <v>0</v>
      </c>
      <c r="AK473" s="30">
        <v>0</v>
      </c>
      <c r="AL473" s="30"/>
      <c r="AM473" s="55">
        <f t="shared" si="61"/>
        <v>0</v>
      </c>
      <c r="AN473" s="55">
        <f t="shared" si="62"/>
        <v>0</v>
      </c>
      <c r="AO473" s="72"/>
      <c r="AP473" s="74" t="str">
        <f t="shared" si="63"/>
        <v/>
      </c>
      <c r="AQ473" s="74" t="str">
        <f t="shared" si="64"/>
        <v/>
      </c>
    </row>
    <row r="474" spans="1:43" ht="13.8" thickBot="1" x14ac:dyDescent="0.3">
      <c r="A474" s="68">
        <v>13</v>
      </c>
      <c r="B474" s="67" t="s">
        <v>212</v>
      </c>
      <c r="C474" s="69" t="s">
        <v>971</v>
      </c>
      <c r="D474" s="66" t="s">
        <v>213</v>
      </c>
      <c r="E474" s="69" t="s">
        <v>203</v>
      </c>
      <c r="F474" s="54"/>
      <c r="G474" s="54"/>
      <c r="H474" s="30">
        <v>0</v>
      </c>
      <c r="I474" s="30">
        <v>0</v>
      </c>
      <c r="J474" s="30">
        <v>0</v>
      </c>
      <c r="K474" s="30">
        <v>0</v>
      </c>
      <c r="L474" s="30">
        <v>0</v>
      </c>
      <c r="M474" s="30">
        <v>0</v>
      </c>
      <c r="N474" s="30">
        <v>0</v>
      </c>
      <c r="O474" s="30">
        <v>0</v>
      </c>
      <c r="P474" s="30">
        <v>0</v>
      </c>
      <c r="Q474" s="30">
        <v>0</v>
      </c>
      <c r="R474" s="30">
        <v>0</v>
      </c>
      <c r="S474" s="30">
        <v>0</v>
      </c>
      <c r="T474" s="30">
        <v>0</v>
      </c>
      <c r="U474" s="30">
        <v>0</v>
      </c>
      <c r="V474" s="30">
        <v>0</v>
      </c>
      <c r="W474" s="30">
        <v>0</v>
      </c>
      <c r="X474" s="30">
        <v>0</v>
      </c>
      <c r="Y474" s="30">
        <v>0</v>
      </c>
      <c r="Z474" s="30">
        <v>0</v>
      </c>
      <c r="AA474" s="30">
        <v>0</v>
      </c>
      <c r="AB474" s="30">
        <v>0</v>
      </c>
      <c r="AC474" s="30">
        <v>0</v>
      </c>
      <c r="AD474" s="30">
        <v>0</v>
      </c>
      <c r="AE474" s="30">
        <v>0</v>
      </c>
      <c r="AF474" s="30">
        <v>0</v>
      </c>
      <c r="AG474" s="30">
        <v>0</v>
      </c>
      <c r="AH474" s="30">
        <v>0</v>
      </c>
      <c r="AI474" s="30">
        <v>0</v>
      </c>
      <c r="AJ474" s="30">
        <v>0</v>
      </c>
      <c r="AK474" s="30">
        <v>0</v>
      </c>
      <c r="AL474" s="30"/>
      <c r="AM474" s="55">
        <f t="shared" si="61"/>
        <v>0</v>
      </c>
      <c r="AN474" s="55">
        <f t="shared" si="62"/>
        <v>0</v>
      </c>
      <c r="AO474" s="72"/>
      <c r="AP474" s="74" t="str">
        <f t="shared" si="63"/>
        <v/>
      </c>
      <c r="AQ474" s="74" t="str">
        <f t="shared" si="64"/>
        <v/>
      </c>
    </row>
    <row r="475" spans="1:43" ht="13.8" thickBot="1" x14ac:dyDescent="0.3">
      <c r="A475" s="68">
        <v>14</v>
      </c>
      <c r="B475" s="67" t="s">
        <v>204</v>
      </c>
      <c r="C475" s="69" t="s">
        <v>46</v>
      </c>
      <c r="D475" s="66" t="s">
        <v>198</v>
      </c>
      <c r="E475" s="70" t="s">
        <v>13</v>
      </c>
      <c r="F475" s="54"/>
      <c r="G475" s="54"/>
      <c r="H475" s="30">
        <v>0</v>
      </c>
      <c r="I475" s="30">
        <v>0</v>
      </c>
      <c r="J475" s="30">
        <v>0</v>
      </c>
      <c r="K475" s="30">
        <v>0</v>
      </c>
      <c r="L475" s="30">
        <v>0</v>
      </c>
      <c r="M475" s="30">
        <v>0</v>
      </c>
      <c r="N475" s="30">
        <v>0</v>
      </c>
      <c r="O475" s="30">
        <v>0</v>
      </c>
      <c r="P475" s="30">
        <v>0</v>
      </c>
      <c r="Q475" s="30">
        <v>0</v>
      </c>
      <c r="R475" s="30">
        <v>0</v>
      </c>
      <c r="S475" s="30">
        <v>0</v>
      </c>
      <c r="T475" s="30">
        <v>0</v>
      </c>
      <c r="U475" s="30">
        <v>0</v>
      </c>
      <c r="V475" s="30">
        <v>0</v>
      </c>
      <c r="W475" s="30">
        <v>0</v>
      </c>
      <c r="X475" s="30">
        <v>0</v>
      </c>
      <c r="Y475" s="30">
        <v>0</v>
      </c>
      <c r="Z475" s="30">
        <v>0</v>
      </c>
      <c r="AA475" s="30">
        <v>0</v>
      </c>
      <c r="AB475" s="30">
        <v>0</v>
      </c>
      <c r="AC475" s="30">
        <v>0</v>
      </c>
      <c r="AD475" s="30">
        <v>0</v>
      </c>
      <c r="AE475" s="30">
        <v>0</v>
      </c>
      <c r="AF475" s="30">
        <v>0</v>
      </c>
      <c r="AG475" s="30">
        <v>0</v>
      </c>
      <c r="AH475" s="30">
        <v>0</v>
      </c>
      <c r="AI475" s="30">
        <v>0</v>
      </c>
      <c r="AJ475" s="30">
        <v>0</v>
      </c>
      <c r="AK475" s="30">
        <v>0</v>
      </c>
      <c r="AL475" s="30"/>
      <c r="AM475" s="55">
        <f t="shared" si="61"/>
        <v>0</v>
      </c>
      <c r="AN475" s="55">
        <f t="shared" si="62"/>
        <v>0</v>
      </c>
      <c r="AO475" s="72"/>
      <c r="AP475" s="74" t="str">
        <f t="shared" si="63"/>
        <v/>
      </c>
      <c r="AQ475" s="74" t="str">
        <f t="shared" si="64"/>
        <v/>
      </c>
    </row>
    <row r="476" spans="1:43" ht="13.8" thickBot="1" x14ac:dyDescent="0.3">
      <c r="A476" s="68">
        <v>15</v>
      </c>
      <c r="B476" s="67" t="s">
        <v>973</v>
      </c>
      <c r="C476" s="69" t="s">
        <v>46</v>
      </c>
      <c r="D476" s="66" t="s">
        <v>201</v>
      </c>
      <c r="E476" s="69" t="s">
        <v>203</v>
      </c>
      <c r="F476" s="54"/>
      <c r="G476" s="54"/>
      <c r="H476" s="30">
        <v>0</v>
      </c>
      <c r="I476" s="30">
        <v>0</v>
      </c>
      <c r="J476" s="30">
        <v>0</v>
      </c>
      <c r="K476" s="30">
        <v>0</v>
      </c>
      <c r="L476" s="30">
        <v>0</v>
      </c>
      <c r="M476" s="30">
        <v>0</v>
      </c>
      <c r="N476" s="30">
        <v>0</v>
      </c>
      <c r="O476" s="30">
        <v>0</v>
      </c>
      <c r="P476" s="30">
        <v>0</v>
      </c>
      <c r="Q476" s="30">
        <v>0</v>
      </c>
      <c r="R476" s="30">
        <v>0</v>
      </c>
      <c r="S476" s="30">
        <v>0</v>
      </c>
      <c r="T476" s="30">
        <v>0</v>
      </c>
      <c r="U476" s="30">
        <v>0</v>
      </c>
      <c r="V476" s="30">
        <v>0</v>
      </c>
      <c r="W476" s="30">
        <v>0</v>
      </c>
      <c r="X476" s="30">
        <v>0</v>
      </c>
      <c r="Y476" s="30">
        <v>0</v>
      </c>
      <c r="Z476" s="30">
        <v>0</v>
      </c>
      <c r="AA476" s="30">
        <v>0</v>
      </c>
      <c r="AB476" s="30">
        <v>0</v>
      </c>
      <c r="AC476" s="30">
        <v>0</v>
      </c>
      <c r="AD476" s="30">
        <v>0</v>
      </c>
      <c r="AE476" s="30">
        <v>0</v>
      </c>
      <c r="AF476" s="30">
        <v>0</v>
      </c>
      <c r="AG476" s="30">
        <v>0</v>
      </c>
      <c r="AH476" s="30">
        <v>0</v>
      </c>
      <c r="AI476" s="30">
        <v>0</v>
      </c>
      <c r="AJ476" s="30">
        <v>0</v>
      </c>
      <c r="AK476" s="30">
        <v>0</v>
      </c>
      <c r="AL476" s="30"/>
      <c r="AM476" s="55">
        <f t="shared" si="61"/>
        <v>0</v>
      </c>
      <c r="AN476" s="55">
        <f t="shared" si="62"/>
        <v>0</v>
      </c>
      <c r="AO476" s="72"/>
      <c r="AP476" s="74" t="str">
        <f t="shared" si="63"/>
        <v/>
      </c>
      <c r="AQ476" s="74" t="str">
        <f t="shared" si="64"/>
        <v/>
      </c>
    </row>
    <row r="477" spans="1:43" ht="13.8" thickBot="1" x14ac:dyDescent="0.3">
      <c r="A477" s="68">
        <v>16</v>
      </c>
      <c r="B477" s="67" t="s">
        <v>218</v>
      </c>
      <c r="C477" s="69" t="s">
        <v>46</v>
      </c>
      <c r="D477" s="66" t="s">
        <v>198</v>
      </c>
      <c r="E477" s="69" t="s">
        <v>975</v>
      </c>
      <c r="F477" s="54"/>
      <c r="G477" s="54"/>
      <c r="H477" s="30">
        <v>0</v>
      </c>
      <c r="I477" s="30">
        <v>0</v>
      </c>
      <c r="J477" s="30">
        <v>0</v>
      </c>
      <c r="K477" s="30">
        <v>0</v>
      </c>
      <c r="L477" s="30">
        <v>0</v>
      </c>
      <c r="M477" s="30">
        <v>0</v>
      </c>
      <c r="N477" s="30">
        <v>0</v>
      </c>
      <c r="O477" s="30">
        <v>0</v>
      </c>
      <c r="P477" s="30">
        <v>0</v>
      </c>
      <c r="Q477" s="30">
        <v>0</v>
      </c>
      <c r="R477" s="30">
        <v>0</v>
      </c>
      <c r="S477" s="30">
        <v>0</v>
      </c>
      <c r="T477" s="30">
        <v>0</v>
      </c>
      <c r="U477" s="30">
        <v>0</v>
      </c>
      <c r="V477" s="30">
        <v>0</v>
      </c>
      <c r="W477" s="30">
        <v>0</v>
      </c>
      <c r="X477" s="30">
        <v>0</v>
      </c>
      <c r="Y477" s="30">
        <v>0</v>
      </c>
      <c r="Z477" s="30">
        <v>0</v>
      </c>
      <c r="AA477" s="30">
        <v>0</v>
      </c>
      <c r="AB477" s="30">
        <v>0</v>
      </c>
      <c r="AC477" s="30">
        <v>0</v>
      </c>
      <c r="AD477" s="30">
        <v>0</v>
      </c>
      <c r="AE477" s="30">
        <v>0</v>
      </c>
      <c r="AF477" s="30">
        <v>0</v>
      </c>
      <c r="AG477" s="30">
        <v>0</v>
      </c>
      <c r="AH477" s="30">
        <v>0</v>
      </c>
      <c r="AI477" s="30">
        <v>0</v>
      </c>
      <c r="AJ477" s="30">
        <v>0</v>
      </c>
      <c r="AK477" s="30">
        <v>0</v>
      </c>
      <c r="AL477" s="30"/>
      <c r="AM477" s="55">
        <f t="shared" si="61"/>
        <v>0</v>
      </c>
      <c r="AN477" s="55">
        <f t="shared" si="62"/>
        <v>0</v>
      </c>
      <c r="AO477" s="72"/>
      <c r="AP477" s="74" t="str">
        <f t="shared" si="63"/>
        <v/>
      </c>
      <c r="AQ477" s="74" t="str">
        <f t="shared" si="64"/>
        <v/>
      </c>
    </row>
    <row r="478" spans="1:43" ht="13.8" thickBot="1" x14ac:dyDescent="0.3">
      <c r="A478" s="68">
        <v>17</v>
      </c>
      <c r="B478" s="67" t="s">
        <v>974</v>
      </c>
      <c r="C478" s="69" t="s">
        <v>46</v>
      </c>
      <c r="D478" s="66" t="s">
        <v>210</v>
      </c>
      <c r="E478" s="70" t="s">
        <v>13</v>
      </c>
      <c r="F478" s="54"/>
      <c r="G478" s="54"/>
      <c r="H478" s="30">
        <v>0</v>
      </c>
      <c r="I478" s="30">
        <v>0</v>
      </c>
      <c r="J478" s="30">
        <v>0</v>
      </c>
      <c r="K478" s="30">
        <v>0</v>
      </c>
      <c r="L478" s="30">
        <v>0</v>
      </c>
      <c r="M478" s="30">
        <v>0</v>
      </c>
      <c r="N478" s="30">
        <v>0</v>
      </c>
      <c r="O478" s="30">
        <v>0</v>
      </c>
      <c r="P478" s="30">
        <v>0</v>
      </c>
      <c r="Q478" s="30">
        <v>0</v>
      </c>
      <c r="R478" s="30">
        <v>0</v>
      </c>
      <c r="S478" s="30">
        <v>0</v>
      </c>
      <c r="T478" s="30">
        <v>0</v>
      </c>
      <c r="U478" s="30">
        <v>0</v>
      </c>
      <c r="V478" s="30">
        <v>0</v>
      </c>
      <c r="W478" s="30">
        <v>0</v>
      </c>
      <c r="X478" s="30">
        <v>0</v>
      </c>
      <c r="Y478" s="30">
        <v>0</v>
      </c>
      <c r="Z478" s="30">
        <v>0</v>
      </c>
      <c r="AA478" s="30">
        <v>0</v>
      </c>
      <c r="AB478" s="30">
        <v>0</v>
      </c>
      <c r="AC478" s="30">
        <v>0</v>
      </c>
      <c r="AD478" s="30">
        <v>0</v>
      </c>
      <c r="AE478" s="30">
        <v>0</v>
      </c>
      <c r="AF478" s="30">
        <v>0</v>
      </c>
      <c r="AG478" s="30">
        <v>0</v>
      </c>
      <c r="AH478" s="30">
        <v>0</v>
      </c>
      <c r="AI478" s="30">
        <v>0</v>
      </c>
      <c r="AJ478" s="30">
        <v>0</v>
      </c>
      <c r="AK478" s="30">
        <v>0</v>
      </c>
      <c r="AL478" s="30"/>
      <c r="AM478" s="55">
        <f t="shared" si="61"/>
        <v>0</v>
      </c>
      <c r="AN478" s="55">
        <f t="shared" si="62"/>
        <v>0</v>
      </c>
      <c r="AO478" s="72"/>
      <c r="AP478" s="74" t="str">
        <f t="shared" si="63"/>
        <v/>
      </c>
      <c r="AQ478" s="74" t="str">
        <f t="shared" si="64"/>
        <v/>
      </c>
    </row>
    <row r="479" spans="1:43" ht="13.8" thickBot="1" x14ac:dyDescent="0.3">
      <c r="A479" s="68">
        <v>18</v>
      </c>
      <c r="B479" s="67" t="s">
        <v>221</v>
      </c>
      <c r="C479" s="69" t="s">
        <v>46</v>
      </c>
      <c r="D479" s="66" t="s">
        <v>976</v>
      </c>
      <c r="E479" s="70" t="s">
        <v>13</v>
      </c>
      <c r="F479" s="54"/>
      <c r="G479" s="54"/>
      <c r="H479" s="30">
        <v>0</v>
      </c>
      <c r="I479" s="30">
        <v>0</v>
      </c>
      <c r="J479" s="30">
        <v>0</v>
      </c>
      <c r="K479" s="30">
        <v>0</v>
      </c>
      <c r="L479" s="30">
        <v>0</v>
      </c>
      <c r="M479" s="30">
        <v>0</v>
      </c>
      <c r="N479" s="30">
        <v>0</v>
      </c>
      <c r="O479" s="30">
        <v>0</v>
      </c>
      <c r="P479" s="30">
        <v>0</v>
      </c>
      <c r="Q479" s="30">
        <v>0</v>
      </c>
      <c r="R479" s="30">
        <v>0</v>
      </c>
      <c r="S479" s="30">
        <v>0</v>
      </c>
      <c r="T479" s="30">
        <v>0</v>
      </c>
      <c r="U479" s="30">
        <v>0</v>
      </c>
      <c r="V479" s="30">
        <v>0</v>
      </c>
      <c r="W479" s="30">
        <v>0</v>
      </c>
      <c r="X479" s="30">
        <v>0</v>
      </c>
      <c r="Y479" s="30">
        <v>0</v>
      </c>
      <c r="Z479" s="30">
        <v>0</v>
      </c>
      <c r="AA479" s="30">
        <v>0</v>
      </c>
      <c r="AB479" s="30">
        <v>0</v>
      </c>
      <c r="AC479" s="30">
        <v>0</v>
      </c>
      <c r="AD479" s="30">
        <v>0</v>
      </c>
      <c r="AE479" s="30">
        <v>0</v>
      </c>
      <c r="AF479" s="30">
        <v>0</v>
      </c>
      <c r="AG479" s="30">
        <v>0</v>
      </c>
      <c r="AH479" s="30">
        <v>0</v>
      </c>
      <c r="AI479" s="30">
        <v>0</v>
      </c>
      <c r="AJ479" s="30">
        <v>0</v>
      </c>
      <c r="AK479" s="30">
        <v>0</v>
      </c>
      <c r="AL479" s="30"/>
      <c r="AM479" s="55">
        <f t="shared" si="61"/>
        <v>0</v>
      </c>
      <c r="AN479" s="55">
        <f t="shared" si="62"/>
        <v>0</v>
      </c>
      <c r="AO479" s="72"/>
      <c r="AP479" s="74" t="str">
        <f t="shared" si="63"/>
        <v/>
      </c>
      <c r="AQ479" s="74" t="str">
        <f t="shared" si="64"/>
        <v/>
      </c>
    </row>
    <row r="480" spans="1:43" ht="13.8" thickBot="1" x14ac:dyDescent="0.3">
      <c r="A480" s="68">
        <v>19</v>
      </c>
      <c r="B480" s="67" t="s">
        <v>223</v>
      </c>
      <c r="C480" s="69" t="s">
        <v>977</v>
      </c>
      <c r="D480" s="66" t="s">
        <v>224</v>
      </c>
      <c r="E480" s="69" t="s">
        <v>978</v>
      </c>
      <c r="F480" s="54"/>
      <c r="G480" s="54"/>
      <c r="H480" s="30">
        <v>0</v>
      </c>
      <c r="I480" s="30">
        <v>0</v>
      </c>
      <c r="J480" s="30">
        <v>0</v>
      </c>
      <c r="K480" s="30">
        <v>0</v>
      </c>
      <c r="L480" s="30">
        <v>0</v>
      </c>
      <c r="M480" s="30">
        <v>0</v>
      </c>
      <c r="N480" s="30">
        <v>0</v>
      </c>
      <c r="O480" s="30">
        <v>0</v>
      </c>
      <c r="P480" s="30">
        <v>0</v>
      </c>
      <c r="Q480" s="30">
        <v>0</v>
      </c>
      <c r="R480" s="30">
        <v>0</v>
      </c>
      <c r="S480" s="30">
        <v>0</v>
      </c>
      <c r="T480" s="30">
        <v>0</v>
      </c>
      <c r="U480" s="30">
        <v>0</v>
      </c>
      <c r="V480" s="30">
        <v>0</v>
      </c>
      <c r="W480" s="30">
        <v>0</v>
      </c>
      <c r="X480" s="30">
        <v>0</v>
      </c>
      <c r="Y480" s="30">
        <v>0</v>
      </c>
      <c r="Z480" s="30">
        <v>0</v>
      </c>
      <c r="AA480" s="30">
        <v>0</v>
      </c>
      <c r="AB480" s="30">
        <v>0</v>
      </c>
      <c r="AC480" s="30">
        <v>0</v>
      </c>
      <c r="AD480" s="30">
        <v>0</v>
      </c>
      <c r="AE480" s="30">
        <v>0</v>
      </c>
      <c r="AF480" s="30">
        <v>0</v>
      </c>
      <c r="AG480" s="30">
        <v>0</v>
      </c>
      <c r="AH480" s="30">
        <v>0</v>
      </c>
      <c r="AI480" s="30">
        <v>0</v>
      </c>
      <c r="AJ480" s="30">
        <v>0</v>
      </c>
      <c r="AK480" s="30">
        <v>0</v>
      </c>
      <c r="AL480" s="30"/>
      <c r="AM480" s="55">
        <f t="shared" si="61"/>
        <v>0</v>
      </c>
      <c r="AN480" s="55">
        <f t="shared" si="62"/>
        <v>0</v>
      </c>
      <c r="AO480" s="72"/>
      <c r="AP480" s="74" t="str">
        <f t="shared" si="63"/>
        <v/>
      </c>
      <c r="AQ480" s="74" t="str">
        <f t="shared" si="64"/>
        <v/>
      </c>
    </row>
    <row r="481" spans="1:43" ht="13.8" thickBot="1" x14ac:dyDescent="0.3">
      <c r="A481" s="68">
        <v>20</v>
      </c>
      <c r="B481" s="67" t="s">
        <v>205</v>
      </c>
      <c r="C481" s="69" t="s">
        <v>979</v>
      </c>
      <c r="D481" s="66" t="s">
        <v>201</v>
      </c>
      <c r="E481" s="70" t="s">
        <v>13</v>
      </c>
      <c r="F481" s="54"/>
      <c r="G481" s="54"/>
      <c r="H481" s="30">
        <v>0</v>
      </c>
      <c r="I481" s="30">
        <v>0</v>
      </c>
      <c r="J481" s="30">
        <v>0</v>
      </c>
      <c r="K481" s="30">
        <v>0</v>
      </c>
      <c r="L481" s="30">
        <v>0</v>
      </c>
      <c r="M481" s="30">
        <v>0</v>
      </c>
      <c r="N481" s="30">
        <v>0</v>
      </c>
      <c r="O481" s="30">
        <v>0</v>
      </c>
      <c r="P481" s="30">
        <v>0</v>
      </c>
      <c r="Q481" s="30">
        <v>0</v>
      </c>
      <c r="R481" s="30">
        <v>0</v>
      </c>
      <c r="S481" s="30">
        <v>0</v>
      </c>
      <c r="T481" s="30">
        <v>0</v>
      </c>
      <c r="U481" s="30">
        <v>0</v>
      </c>
      <c r="V481" s="30">
        <v>0</v>
      </c>
      <c r="W481" s="30">
        <v>0</v>
      </c>
      <c r="X481" s="30">
        <v>0</v>
      </c>
      <c r="Y481" s="30">
        <v>0</v>
      </c>
      <c r="Z481" s="30">
        <v>0</v>
      </c>
      <c r="AA481" s="30">
        <v>0</v>
      </c>
      <c r="AB481" s="30">
        <v>0</v>
      </c>
      <c r="AC481" s="30">
        <v>0</v>
      </c>
      <c r="AD481" s="30">
        <v>0</v>
      </c>
      <c r="AE481" s="30">
        <v>0</v>
      </c>
      <c r="AF481" s="30">
        <v>0</v>
      </c>
      <c r="AG481" s="30">
        <v>0</v>
      </c>
      <c r="AH481" s="30">
        <v>0</v>
      </c>
      <c r="AI481" s="30">
        <v>0</v>
      </c>
      <c r="AJ481" s="30">
        <v>0</v>
      </c>
      <c r="AK481" s="30">
        <v>0</v>
      </c>
      <c r="AL481" s="30"/>
      <c r="AM481" s="55">
        <f t="shared" si="61"/>
        <v>0</v>
      </c>
      <c r="AN481" s="55">
        <f t="shared" si="62"/>
        <v>0</v>
      </c>
      <c r="AO481" s="72"/>
      <c r="AP481" s="74" t="str">
        <f t="shared" si="63"/>
        <v/>
      </c>
      <c r="AQ481" s="74" t="str">
        <f t="shared" si="64"/>
        <v/>
      </c>
    </row>
    <row r="482" spans="1:43" ht="13.8" thickBot="1" x14ac:dyDescent="0.3">
      <c r="A482" s="68">
        <v>21</v>
      </c>
      <c r="B482" s="67" t="s">
        <v>209</v>
      </c>
      <c r="C482" s="69" t="s">
        <v>979</v>
      </c>
      <c r="D482" s="66" t="s">
        <v>210</v>
      </c>
      <c r="E482" s="70" t="s">
        <v>13</v>
      </c>
      <c r="F482" s="54"/>
      <c r="G482" s="54"/>
      <c r="H482" s="30">
        <v>0</v>
      </c>
      <c r="I482" s="30">
        <v>0</v>
      </c>
      <c r="J482" s="30">
        <v>0</v>
      </c>
      <c r="K482" s="30">
        <v>0</v>
      </c>
      <c r="L482" s="30">
        <v>0</v>
      </c>
      <c r="M482" s="30">
        <v>0</v>
      </c>
      <c r="N482" s="30">
        <v>0</v>
      </c>
      <c r="O482" s="30">
        <v>0</v>
      </c>
      <c r="P482" s="30">
        <v>0</v>
      </c>
      <c r="Q482" s="30">
        <v>0</v>
      </c>
      <c r="R482" s="30">
        <v>0</v>
      </c>
      <c r="S482" s="30">
        <v>0</v>
      </c>
      <c r="T482" s="30">
        <v>0</v>
      </c>
      <c r="U482" s="30">
        <v>0</v>
      </c>
      <c r="V482" s="30">
        <v>0</v>
      </c>
      <c r="W482" s="30">
        <v>0</v>
      </c>
      <c r="X482" s="30">
        <v>0</v>
      </c>
      <c r="Y482" s="30">
        <v>0</v>
      </c>
      <c r="Z482" s="30">
        <v>0</v>
      </c>
      <c r="AA482" s="30">
        <v>0</v>
      </c>
      <c r="AB482" s="30">
        <v>0</v>
      </c>
      <c r="AC482" s="30">
        <v>0</v>
      </c>
      <c r="AD482" s="30">
        <v>0</v>
      </c>
      <c r="AE482" s="30">
        <v>0</v>
      </c>
      <c r="AF482" s="30">
        <v>0</v>
      </c>
      <c r="AG482" s="30">
        <v>0</v>
      </c>
      <c r="AH482" s="30">
        <v>0</v>
      </c>
      <c r="AI482" s="30">
        <v>0</v>
      </c>
      <c r="AJ482" s="30">
        <v>0</v>
      </c>
      <c r="AK482" s="30">
        <v>0</v>
      </c>
      <c r="AL482" s="30"/>
      <c r="AM482" s="55">
        <f t="shared" si="61"/>
        <v>0</v>
      </c>
      <c r="AN482" s="55">
        <f t="shared" si="62"/>
        <v>0</v>
      </c>
      <c r="AO482" s="72"/>
      <c r="AP482" s="74" t="str">
        <f t="shared" si="63"/>
        <v/>
      </c>
      <c r="AQ482" s="74" t="str">
        <f t="shared" si="64"/>
        <v/>
      </c>
    </row>
    <row r="483" spans="1:43" ht="13.8" thickBot="1" x14ac:dyDescent="0.3">
      <c r="A483" s="68">
        <v>22</v>
      </c>
      <c r="B483" s="67" t="s">
        <v>207</v>
      </c>
      <c r="C483" s="69" t="s">
        <v>980</v>
      </c>
      <c r="D483" s="66" t="s">
        <v>201</v>
      </c>
      <c r="E483" s="69" t="s">
        <v>208</v>
      </c>
      <c r="F483" s="54"/>
      <c r="G483" s="54"/>
      <c r="H483" s="30">
        <v>0</v>
      </c>
      <c r="I483" s="30">
        <v>0</v>
      </c>
      <c r="J483" s="30">
        <v>0</v>
      </c>
      <c r="K483" s="30">
        <v>0</v>
      </c>
      <c r="L483" s="30">
        <v>0</v>
      </c>
      <c r="M483" s="30">
        <v>0</v>
      </c>
      <c r="N483" s="30">
        <v>0</v>
      </c>
      <c r="O483" s="30">
        <v>0</v>
      </c>
      <c r="P483" s="30">
        <v>0</v>
      </c>
      <c r="Q483" s="30">
        <v>0</v>
      </c>
      <c r="R483" s="30">
        <v>0</v>
      </c>
      <c r="S483" s="30">
        <v>0</v>
      </c>
      <c r="T483" s="30">
        <v>0</v>
      </c>
      <c r="U483" s="30">
        <v>0</v>
      </c>
      <c r="V483" s="30">
        <v>0</v>
      </c>
      <c r="W483" s="30">
        <v>0</v>
      </c>
      <c r="X483" s="30">
        <v>0</v>
      </c>
      <c r="Y483" s="30">
        <v>0</v>
      </c>
      <c r="Z483" s="30">
        <v>0</v>
      </c>
      <c r="AA483" s="30">
        <v>0</v>
      </c>
      <c r="AB483" s="30">
        <v>0</v>
      </c>
      <c r="AC483" s="30">
        <v>0</v>
      </c>
      <c r="AD483" s="30">
        <v>0</v>
      </c>
      <c r="AE483" s="30">
        <v>0</v>
      </c>
      <c r="AF483" s="30">
        <v>0</v>
      </c>
      <c r="AG483" s="30">
        <v>0</v>
      </c>
      <c r="AH483" s="30">
        <v>0</v>
      </c>
      <c r="AI483" s="30">
        <v>0</v>
      </c>
      <c r="AJ483" s="30">
        <v>0</v>
      </c>
      <c r="AK483" s="30">
        <v>0</v>
      </c>
      <c r="AL483" s="30"/>
      <c r="AM483" s="55">
        <f t="shared" si="61"/>
        <v>0</v>
      </c>
      <c r="AN483" s="55">
        <f t="shared" si="62"/>
        <v>0</v>
      </c>
      <c r="AO483" s="72"/>
      <c r="AP483" s="74" t="str">
        <f t="shared" si="63"/>
        <v/>
      </c>
      <c r="AQ483" s="74" t="str">
        <f t="shared" si="64"/>
        <v/>
      </c>
    </row>
    <row r="484" spans="1:43" ht="13.8" thickBot="1" x14ac:dyDescent="0.3">
      <c r="A484" s="68">
        <v>23</v>
      </c>
      <c r="B484" s="67" t="s">
        <v>982</v>
      </c>
      <c r="C484" s="69" t="s">
        <v>981</v>
      </c>
      <c r="D484" s="66" t="s">
        <v>201</v>
      </c>
      <c r="E484" s="71">
        <v>0.02</v>
      </c>
      <c r="F484" s="54"/>
      <c r="G484" s="54"/>
      <c r="H484" s="30">
        <v>0</v>
      </c>
      <c r="I484" s="30">
        <v>0</v>
      </c>
      <c r="J484" s="30">
        <v>0</v>
      </c>
      <c r="K484" s="30">
        <v>0</v>
      </c>
      <c r="L484" s="30">
        <v>0</v>
      </c>
      <c r="M484" s="30">
        <v>0</v>
      </c>
      <c r="N484" s="30">
        <v>0</v>
      </c>
      <c r="O484" s="30">
        <v>0</v>
      </c>
      <c r="P484" s="30">
        <v>0</v>
      </c>
      <c r="Q484" s="30">
        <v>0</v>
      </c>
      <c r="R484" s="30">
        <v>0</v>
      </c>
      <c r="S484" s="30">
        <v>0</v>
      </c>
      <c r="T484" s="30">
        <v>0</v>
      </c>
      <c r="U484" s="30">
        <v>0</v>
      </c>
      <c r="V484" s="30">
        <v>0</v>
      </c>
      <c r="W484" s="30">
        <v>0</v>
      </c>
      <c r="X484" s="30">
        <v>0</v>
      </c>
      <c r="Y484" s="30">
        <v>0</v>
      </c>
      <c r="Z484" s="30">
        <v>0</v>
      </c>
      <c r="AA484" s="30">
        <v>0</v>
      </c>
      <c r="AB484" s="30">
        <v>0</v>
      </c>
      <c r="AC484" s="30">
        <v>0</v>
      </c>
      <c r="AD484" s="30">
        <v>0</v>
      </c>
      <c r="AE484" s="30">
        <v>0</v>
      </c>
      <c r="AF484" s="30">
        <v>0</v>
      </c>
      <c r="AG484" s="30">
        <v>0</v>
      </c>
      <c r="AH484" s="30">
        <v>0</v>
      </c>
      <c r="AI484" s="30">
        <v>0</v>
      </c>
      <c r="AJ484" s="30">
        <v>0</v>
      </c>
      <c r="AK484" s="30">
        <v>0</v>
      </c>
      <c r="AL484" s="30"/>
      <c r="AM484" s="55">
        <f t="shared" si="61"/>
        <v>0</v>
      </c>
      <c r="AN484" s="55">
        <f t="shared" si="62"/>
        <v>0</v>
      </c>
      <c r="AO484" s="72"/>
      <c r="AP484" s="74" t="str">
        <f t="shared" si="63"/>
        <v/>
      </c>
      <c r="AQ484" s="74" t="str">
        <f t="shared" si="64"/>
        <v/>
      </c>
    </row>
    <row r="485" spans="1:43" ht="13.8" thickBot="1" x14ac:dyDescent="0.3">
      <c r="A485" s="68">
        <v>24</v>
      </c>
      <c r="B485" s="67" t="s">
        <v>216</v>
      </c>
      <c r="C485" s="69" t="s">
        <v>983</v>
      </c>
      <c r="D485" s="66" t="s">
        <v>213</v>
      </c>
      <c r="E485" s="70" t="s">
        <v>13</v>
      </c>
      <c r="F485" s="54"/>
      <c r="G485" s="54"/>
      <c r="H485" s="30">
        <v>0</v>
      </c>
      <c r="I485" s="30">
        <v>0</v>
      </c>
      <c r="J485" s="30">
        <v>0</v>
      </c>
      <c r="K485" s="30">
        <v>0</v>
      </c>
      <c r="L485" s="30">
        <v>0</v>
      </c>
      <c r="M485" s="30">
        <v>0</v>
      </c>
      <c r="N485" s="30">
        <v>0</v>
      </c>
      <c r="O485" s="30">
        <v>0</v>
      </c>
      <c r="P485" s="30">
        <v>0</v>
      </c>
      <c r="Q485" s="30">
        <v>0</v>
      </c>
      <c r="R485" s="30">
        <v>0</v>
      </c>
      <c r="S485" s="30">
        <v>0</v>
      </c>
      <c r="T485" s="30">
        <v>0</v>
      </c>
      <c r="U485" s="30">
        <v>0</v>
      </c>
      <c r="V485" s="30">
        <v>0</v>
      </c>
      <c r="W485" s="30">
        <v>0</v>
      </c>
      <c r="X485" s="30">
        <v>0</v>
      </c>
      <c r="Y485" s="30">
        <v>0</v>
      </c>
      <c r="Z485" s="30">
        <v>0</v>
      </c>
      <c r="AA485" s="30">
        <v>0</v>
      </c>
      <c r="AB485" s="30">
        <v>0</v>
      </c>
      <c r="AC485" s="30">
        <v>0</v>
      </c>
      <c r="AD485" s="30">
        <v>0</v>
      </c>
      <c r="AE485" s="30">
        <v>0</v>
      </c>
      <c r="AF485" s="30">
        <v>0</v>
      </c>
      <c r="AG485" s="30">
        <v>0</v>
      </c>
      <c r="AH485" s="30">
        <v>0</v>
      </c>
      <c r="AI485" s="30">
        <v>0</v>
      </c>
      <c r="AJ485" s="30">
        <v>0</v>
      </c>
      <c r="AK485" s="30">
        <v>0</v>
      </c>
      <c r="AL485" s="30"/>
      <c r="AM485" s="55">
        <f t="shared" si="61"/>
        <v>0</v>
      </c>
      <c r="AN485" s="55">
        <f t="shared" si="62"/>
        <v>0</v>
      </c>
      <c r="AO485" s="72"/>
      <c r="AP485" s="74" t="str">
        <f t="shared" si="63"/>
        <v/>
      </c>
      <c r="AQ485" s="74" t="str">
        <f t="shared" si="64"/>
        <v/>
      </c>
    </row>
    <row r="486" spans="1:43" ht="13.8" thickBot="1" x14ac:dyDescent="0.3">
      <c r="A486" s="68">
        <v>25</v>
      </c>
      <c r="B486" s="67" t="s">
        <v>217</v>
      </c>
      <c r="C486" s="69" t="s">
        <v>983</v>
      </c>
      <c r="D486" s="66" t="s">
        <v>198</v>
      </c>
      <c r="E486" s="70" t="s">
        <v>13</v>
      </c>
      <c r="F486" s="54"/>
      <c r="G486" s="54"/>
      <c r="H486" s="30">
        <v>0</v>
      </c>
      <c r="I486" s="30">
        <v>0</v>
      </c>
      <c r="J486" s="30">
        <v>0</v>
      </c>
      <c r="K486" s="30">
        <v>0</v>
      </c>
      <c r="L486" s="30">
        <v>0</v>
      </c>
      <c r="M486" s="30">
        <v>0</v>
      </c>
      <c r="N486" s="30">
        <v>0</v>
      </c>
      <c r="O486" s="30">
        <v>0</v>
      </c>
      <c r="P486" s="30">
        <v>0</v>
      </c>
      <c r="Q486" s="30">
        <v>0</v>
      </c>
      <c r="R486" s="30">
        <v>0</v>
      </c>
      <c r="S486" s="30">
        <v>0</v>
      </c>
      <c r="T486" s="30">
        <v>0</v>
      </c>
      <c r="U486" s="30">
        <v>0</v>
      </c>
      <c r="V486" s="30">
        <v>0</v>
      </c>
      <c r="W486" s="30">
        <v>0</v>
      </c>
      <c r="X486" s="30">
        <v>0</v>
      </c>
      <c r="Y486" s="30">
        <v>0</v>
      </c>
      <c r="Z486" s="30">
        <v>0</v>
      </c>
      <c r="AA486" s="30">
        <v>0</v>
      </c>
      <c r="AB486" s="30">
        <v>0</v>
      </c>
      <c r="AC486" s="30">
        <v>0</v>
      </c>
      <c r="AD486" s="30">
        <v>0</v>
      </c>
      <c r="AE486" s="30">
        <v>0</v>
      </c>
      <c r="AF486" s="30">
        <v>0</v>
      </c>
      <c r="AG486" s="30">
        <v>0</v>
      </c>
      <c r="AH486" s="30">
        <v>0</v>
      </c>
      <c r="AI486" s="30">
        <v>0</v>
      </c>
      <c r="AJ486" s="30">
        <v>0</v>
      </c>
      <c r="AK486" s="30">
        <v>0</v>
      </c>
      <c r="AL486" s="30"/>
      <c r="AM486" s="55">
        <f t="shared" si="61"/>
        <v>0</v>
      </c>
      <c r="AN486" s="55">
        <f t="shared" si="62"/>
        <v>0</v>
      </c>
      <c r="AO486" s="72"/>
      <c r="AP486" s="74" t="str">
        <f t="shared" si="63"/>
        <v/>
      </c>
      <c r="AQ486" s="74" t="str">
        <f t="shared" si="64"/>
        <v/>
      </c>
    </row>
    <row r="487" spans="1:43" ht="13.8" thickBot="1" x14ac:dyDescent="0.3">
      <c r="A487" s="68">
        <v>26</v>
      </c>
      <c r="B487" s="67" t="s">
        <v>225</v>
      </c>
      <c r="C487" s="69" t="s">
        <v>983</v>
      </c>
      <c r="D487" s="66" t="s">
        <v>198</v>
      </c>
      <c r="E487" s="70" t="s">
        <v>13</v>
      </c>
      <c r="F487" s="54"/>
      <c r="G487" s="54"/>
      <c r="H487" s="30">
        <v>0</v>
      </c>
      <c r="I487" s="30">
        <v>0</v>
      </c>
      <c r="J487" s="30">
        <v>0</v>
      </c>
      <c r="K487" s="30">
        <v>0</v>
      </c>
      <c r="L487" s="30">
        <v>0</v>
      </c>
      <c r="M487" s="30">
        <v>0</v>
      </c>
      <c r="N487" s="30">
        <v>0</v>
      </c>
      <c r="O487" s="30">
        <v>0</v>
      </c>
      <c r="P487" s="30">
        <v>0</v>
      </c>
      <c r="Q487" s="30">
        <v>0</v>
      </c>
      <c r="R487" s="30">
        <v>0</v>
      </c>
      <c r="S487" s="30">
        <v>0</v>
      </c>
      <c r="T487" s="30">
        <v>0</v>
      </c>
      <c r="U487" s="30">
        <v>0</v>
      </c>
      <c r="V487" s="30">
        <v>0</v>
      </c>
      <c r="W487" s="30">
        <v>0</v>
      </c>
      <c r="X487" s="30">
        <v>0</v>
      </c>
      <c r="Y487" s="30">
        <v>0</v>
      </c>
      <c r="Z487" s="30">
        <v>0</v>
      </c>
      <c r="AA487" s="30">
        <v>0</v>
      </c>
      <c r="AB487" s="30">
        <v>0</v>
      </c>
      <c r="AC487" s="30">
        <v>0</v>
      </c>
      <c r="AD487" s="30">
        <v>0</v>
      </c>
      <c r="AE487" s="30">
        <v>0</v>
      </c>
      <c r="AF487" s="30">
        <v>0</v>
      </c>
      <c r="AG487" s="30">
        <v>0</v>
      </c>
      <c r="AH487" s="30">
        <v>0</v>
      </c>
      <c r="AI487" s="30">
        <v>0</v>
      </c>
      <c r="AJ487" s="30">
        <v>0</v>
      </c>
      <c r="AK487" s="30">
        <v>0</v>
      </c>
      <c r="AL487" s="30"/>
      <c r="AM487" s="55">
        <f t="shared" si="61"/>
        <v>0</v>
      </c>
      <c r="AN487" s="55">
        <f t="shared" si="62"/>
        <v>0</v>
      </c>
      <c r="AO487" s="72"/>
      <c r="AP487" s="74" t="str">
        <f t="shared" si="63"/>
        <v/>
      </c>
      <c r="AQ487" s="74" t="str">
        <f t="shared" si="64"/>
        <v/>
      </c>
    </row>
    <row r="488" spans="1:43" ht="13.8" thickBot="1" x14ac:dyDescent="0.3">
      <c r="A488" s="68">
        <v>27</v>
      </c>
      <c r="B488" s="67" t="s">
        <v>222</v>
      </c>
      <c r="C488" s="69" t="s">
        <v>984</v>
      </c>
      <c r="D488" s="66" t="s">
        <v>976</v>
      </c>
      <c r="E488" s="70" t="s">
        <v>13</v>
      </c>
      <c r="F488" s="54"/>
      <c r="G488" s="54"/>
      <c r="H488" s="30">
        <v>0</v>
      </c>
      <c r="I488" s="30">
        <v>0</v>
      </c>
      <c r="J488" s="30">
        <v>0</v>
      </c>
      <c r="K488" s="30">
        <v>0</v>
      </c>
      <c r="L488" s="30">
        <v>0</v>
      </c>
      <c r="M488" s="30">
        <v>0</v>
      </c>
      <c r="N488" s="30">
        <v>0</v>
      </c>
      <c r="O488" s="30">
        <v>0</v>
      </c>
      <c r="P488" s="30">
        <v>0</v>
      </c>
      <c r="Q488" s="30">
        <v>0</v>
      </c>
      <c r="R488" s="30">
        <v>0</v>
      </c>
      <c r="S488" s="30">
        <v>0</v>
      </c>
      <c r="T488" s="30">
        <v>0</v>
      </c>
      <c r="U488" s="30">
        <v>0</v>
      </c>
      <c r="V488" s="30">
        <v>0</v>
      </c>
      <c r="W488" s="30">
        <v>0</v>
      </c>
      <c r="X488" s="30">
        <v>0</v>
      </c>
      <c r="Y488" s="30">
        <v>0</v>
      </c>
      <c r="Z488" s="30">
        <v>0</v>
      </c>
      <c r="AA488" s="30">
        <v>0</v>
      </c>
      <c r="AB488" s="30">
        <v>0</v>
      </c>
      <c r="AC488" s="30">
        <v>0</v>
      </c>
      <c r="AD488" s="30">
        <v>0</v>
      </c>
      <c r="AE488" s="30">
        <v>0</v>
      </c>
      <c r="AF488" s="30">
        <v>0</v>
      </c>
      <c r="AG488" s="30">
        <v>0</v>
      </c>
      <c r="AH488" s="30">
        <v>0</v>
      </c>
      <c r="AI488" s="30">
        <v>0</v>
      </c>
      <c r="AJ488" s="30">
        <v>0</v>
      </c>
      <c r="AK488" s="30">
        <v>0</v>
      </c>
      <c r="AL488" s="30"/>
      <c r="AM488" s="55">
        <f t="shared" si="61"/>
        <v>0</v>
      </c>
      <c r="AN488" s="55">
        <f t="shared" si="62"/>
        <v>0</v>
      </c>
      <c r="AO488" s="72"/>
      <c r="AP488" s="74" t="str">
        <f t="shared" si="63"/>
        <v/>
      </c>
      <c r="AQ488" s="74" t="str">
        <f t="shared" si="64"/>
        <v/>
      </c>
    </row>
    <row r="489" spans="1:43" ht="13.8" thickBot="1" x14ac:dyDescent="0.3">
      <c r="A489" s="68">
        <v>28</v>
      </c>
      <c r="B489" s="67" t="s">
        <v>202</v>
      </c>
      <c r="C489" s="69" t="s">
        <v>987</v>
      </c>
      <c r="D489" s="66" t="s">
        <v>976</v>
      </c>
      <c r="E489" s="70" t="s">
        <v>13</v>
      </c>
      <c r="F489" s="54"/>
      <c r="G489" s="54"/>
      <c r="H489" s="30">
        <v>0</v>
      </c>
      <c r="I489" s="30">
        <v>0</v>
      </c>
      <c r="J489" s="30">
        <v>0</v>
      </c>
      <c r="K489" s="30">
        <v>0</v>
      </c>
      <c r="L489" s="30">
        <v>0</v>
      </c>
      <c r="M489" s="30">
        <v>0</v>
      </c>
      <c r="N489" s="30">
        <v>0</v>
      </c>
      <c r="O489" s="30">
        <v>0</v>
      </c>
      <c r="P489" s="30">
        <v>0</v>
      </c>
      <c r="Q489" s="30">
        <v>0</v>
      </c>
      <c r="R489" s="30">
        <v>0</v>
      </c>
      <c r="S489" s="30">
        <v>0</v>
      </c>
      <c r="T489" s="30">
        <v>0</v>
      </c>
      <c r="U489" s="30">
        <v>0</v>
      </c>
      <c r="V489" s="30">
        <v>0</v>
      </c>
      <c r="W489" s="30">
        <v>0</v>
      </c>
      <c r="X489" s="30">
        <v>0</v>
      </c>
      <c r="Y489" s="30">
        <v>0</v>
      </c>
      <c r="Z489" s="30">
        <v>0</v>
      </c>
      <c r="AA489" s="30">
        <v>0</v>
      </c>
      <c r="AB489" s="30">
        <v>0</v>
      </c>
      <c r="AC489" s="30">
        <v>0</v>
      </c>
      <c r="AD489" s="30">
        <v>0</v>
      </c>
      <c r="AE489" s="30">
        <v>0</v>
      </c>
      <c r="AF489" s="30">
        <v>0</v>
      </c>
      <c r="AG489" s="30">
        <v>0</v>
      </c>
      <c r="AH489" s="30">
        <v>0</v>
      </c>
      <c r="AI489" s="30">
        <v>0</v>
      </c>
      <c r="AJ489" s="30">
        <v>0</v>
      </c>
      <c r="AK489" s="30">
        <v>0</v>
      </c>
      <c r="AL489" s="30"/>
      <c r="AM489" s="55">
        <f t="shared" si="61"/>
        <v>0</v>
      </c>
      <c r="AN489" s="55">
        <f t="shared" si="62"/>
        <v>0</v>
      </c>
      <c r="AO489" s="72"/>
      <c r="AP489" s="74" t="str">
        <f t="shared" si="63"/>
        <v/>
      </c>
      <c r="AQ489" s="74" t="str">
        <f t="shared" si="64"/>
        <v/>
      </c>
    </row>
    <row r="490" spans="1:43" ht="13.8" thickBot="1" x14ac:dyDescent="0.3">
      <c r="A490" s="68">
        <v>29</v>
      </c>
      <c r="B490" s="67" t="s">
        <v>214</v>
      </c>
      <c r="C490" s="69" t="s">
        <v>987</v>
      </c>
      <c r="D490" s="66" t="s">
        <v>976</v>
      </c>
      <c r="E490" s="70" t="s">
        <v>13</v>
      </c>
      <c r="F490" s="54"/>
      <c r="G490" s="54"/>
      <c r="H490" s="30">
        <v>0</v>
      </c>
      <c r="I490" s="30">
        <v>0</v>
      </c>
      <c r="J490" s="30">
        <v>0</v>
      </c>
      <c r="K490" s="30">
        <v>0</v>
      </c>
      <c r="L490" s="30">
        <v>0</v>
      </c>
      <c r="M490" s="30">
        <v>0</v>
      </c>
      <c r="N490" s="30">
        <v>0</v>
      </c>
      <c r="O490" s="30">
        <v>0</v>
      </c>
      <c r="P490" s="30">
        <v>0</v>
      </c>
      <c r="Q490" s="30">
        <v>0</v>
      </c>
      <c r="R490" s="30">
        <v>0</v>
      </c>
      <c r="S490" s="30">
        <v>0</v>
      </c>
      <c r="T490" s="30">
        <v>0</v>
      </c>
      <c r="U490" s="30">
        <v>0</v>
      </c>
      <c r="V490" s="30">
        <v>0</v>
      </c>
      <c r="W490" s="30">
        <v>0</v>
      </c>
      <c r="X490" s="30">
        <v>0</v>
      </c>
      <c r="Y490" s="30">
        <v>0</v>
      </c>
      <c r="Z490" s="30">
        <v>0</v>
      </c>
      <c r="AA490" s="30">
        <v>0</v>
      </c>
      <c r="AB490" s="30">
        <v>0</v>
      </c>
      <c r="AC490" s="30">
        <v>0</v>
      </c>
      <c r="AD490" s="30">
        <v>0</v>
      </c>
      <c r="AE490" s="30">
        <v>0</v>
      </c>
      <c r="AF490" s="30">
        <v>0</v>
      </c>
      <c r="AG490" s="30">
        <v>0</v>
      </c>
      <c r="AH490" s="30">
        <v>0</v>
      </c>
      <c r="AI490" s="30">
        <v>0</v>
      </c>
      <c r="AJ490" s="30">
        <v>0</v>
      </c>
      <c r="AK490" s="30">
        <v>0</v>
      </c>
      <c r="AL490" s="30"/>
      <c r="AM490" s="55">
        <f t="shared" si="61"/>
        <v>0</v>
      </c>
      <c r="AN490" s="55">
        <f t="shared" si="62"/>
        <v>0</v>
      </c>
      <c r="AO490" s="72"/>
      <c r="AP490" s="74" t="str">
        <f t="shared" si="63"/>
        <v/>
      </c>
      <c r="AQ490" s="74" t="str">
        <f t="shared" si="64"/>
        <v/>
      </c>
    </row>
    <row r="491" spans="1:43" ht="13.8" thickBot="1" x14ac:dyDescent="0.3">
      <c r="A491" s="68">
        <v>30</v>
      </c>
      <c r="B491" s="67" t="s">
        <v>993</v>
      </c>
      <c r="C491" s="69" t="s">
        <v>988</v>
      </c>
      <c r="D491" s="66" t="s">
        <v>219</v>
      </c>
      <c r="E491" s="66" t="s">
        <v>994</v>
      </c>
      <c r="F491" s="54"/>
      <c r="G491" s="54"/>
      <c r="H491" s="30">
        <v>0</v>
      </c>
      <c r="I491" s="30">
        <v>0</v>
      </c>
      <c r="J491" s="30">
        <v>0</v>
      </c>
      <c r="K491" s="30">
        <v>0</v>
      </c>
      <c r="L491" s="30">
        <v>0</v>
      </c>
      <c r="M491" s="30">
        <v>0</v>
      </c>
      <c r="N491" s="30">
        <v>0</v>
      </c>
      <c r="O491" s="30">
        <v>0</v>
      </c>
      <c r="P491" s="30">
        <v>0</v>
      </c>
      <c r="Q491" s="30">
        <v>0</v>
      </c>
      <c r="R491" s="30">
        <v>0</v>
      </c>
      <c r="S491" s="30">
        <v>0</v>
      </c>
      <c r="T491" s="30">
        <v>0</v>
      </c>
      <c r="U491" s="30">
        <v>0</v>
      </c>
      <c r="V491" s="30">
        <v>0</v>
      </c>
      <c r="W491" s="30">
        <v>0</v>
      </c>
      <c r="X491" s="30">
        <v>0</v>
      </c>
      <c r="Y491" s="30">
        <v>0</v>
      </c>
      <c r="Z491" s="30">
        <v>0</v>
      </c>
      <c r="AA491" s="30">
        <v>0</v>
      </c>
      <c r="AB491" s="30">
        <v>0</v>
      </c>
      <c r="AC491" s="30">
        <v>0</v>
      </c>
      <c r="AD491" s="30">
        <v>0</v>
      </c>
      <c r="AE491" s="30">
        <v>0</v>
      </c>
      <c r="AF491" s="30">
        <v>0</v>
      </c>
      <c r="AG491" s="30">
        <v>0</v>
      </c>
      <c r="AH491" s="30">
        <v>0</v>
      </c>
      <c r="AI491" s="30">
        <v>0</v>
      </c>
      <c r="AJ491" s="30">
        <v>0</v>
      </c>
      <c r="AK491" s="30">
        <v>0</v>
      </c>
      <c r="AL491" s="30"/>
      <c r="AM491" s="55">
        <f t="shared" si="61"/>
        <v>0</v>
      </c>
      <c r="AN491" s="55">
        <f t="shared" si="62"/>
        <v>0</v>
      </c>
      <c r="AO491" s="72"/>
      <c r="AP491" s="74" t="str">
        <f t="shared" si="63"/>
        <v/>
      </c>
      <c r="AQ491" s="74" t="str">
        <f t="shared" si="64"/>
        <v/>
      </c>
    </row>
    <row r="492" spans="1:43" ht="13.8" thickBot="1" x14ac:dyDescent="0.3">
      <c r="A492" s="68">
        <v>31</v>
      </c>
      <c r="B492" s="67" t="s">
        <v>990</v>
      </c>
      <c r="C492" s="69" t="s">
        <v>989</v>
      </c>
      <c r="D492" s="66" t="s">
        <v>219</v>
      </c>
      <c r="E492" s="70" t="s">
        <v>13</v>
      </c>
      <c r="F492" s="54"/>
      <c r="G492" s="54"/>
      <c r="H492" s="30">
        <v>0</v>
      </c>
      <c r="I492" s="30">
        <v>0</v>
      </c>
      <c r="J492" s="30">
        <v>0</v>
      </c>
      <c r="K492" s="30">
        <v>0</v>
      </c>
      <c r="L492" s="30">
        <v>0</v>
      </c>
      <c r="M492" s="30">
        <v>0</v>
      </c>
      <c r="N492" s="30">
        <v>0</v>
      </c>
      <c r="O492" s="30">
        <v>0</v>
      </c>
      <c r="P492" s="30">
        <v>0</v>
      </c>
      <c r="Q492" s="30">
        <v>0</v>
      </c>
      <c r="R492" s="30">
        <v>0</v>
      </c>
      <c r="S492" s="30">
        <v>0</v>
      </c>
      <c r="T492" s="30">
        <v>0</v>
      </c>
      <c r="U492" s="30">
        <v>0</v>
      </c>
      <c r="V492" s="30">
        <v>0</v>
      </c>
      <c r="W492" s="30">
        <v>0</v>
      </c>
      <c r="X492" s="30">
        <v>0</v>
      </c>
      <c r="Y492" s="30">
        <v>0</v>
      </c>
      <c r="Z492" s="30">
        <v>0</v>
      </c>
      <c r="AA492" s="30">
        <v>0</v>
      </c>
      <c r="AB492" s="30">
        <v>0</v>
      </c>
      <c r="AC492" s="30">
        <v>0</v>
      </c>
      <c r="AD492" s="30">
        <v>0</v>
      </c>
      <c r="AE492" s="30">
        <v>0</v>
      </c>
      <c r="AF492" s="30">
        <v>0</v>
      </c>
      <c r="AG492" s="30">
        <v>0</v>
      </c>
      <c r="AH492" s="30">
        <v>0</v>
      </c>
      <c r="AI492" s="30">
        <v>0</v>
      </c>
      <c r="AJ492" s="30">
        <v>0</v>
      </c>
      <c r="AK492" s="30">
        <v>0</v>
      </c>
      <c r="AL492" s="30"/>
      <c r="AM492" s="55">
        <f t="shared" si="61"/>
        <v>0</v>
      </c>
      <c r="AN492" s="55">
        <f t="shared" si="62"/>
        <v>0</v>
      </c>
      <c r="AO492" s="72"/>
      <c r="AP492" s="74" t="str">
        <f t="shared" si="63"/>
        <v/>
      </c>
      <c r="AQ492" s="74" t="str">
        <f t="shared" si="64"/>
        <v/>
      </c>
    </row>
    <row r="493" spans="1:43" ht="13.8" thickBot="1" x14ac:dyDescent="0.3">
      <c r="A493" s="68">
        <v>32</v>
      </c>
      <c r="B493" s="67" t="s">
        <v>196</v>
      </c>
      <c r="C493" s="69" t="s">
        <v>991</v>
      </c>
      <c r="D493" s="66" t="s">
        <v>213</v>
      </c>
      <c r="E493" s="66" t="s">
        <v>197</v>
      </c>
      <c r="F493" s="54"/>
      <c r="G493" s="54"/>
      <c r="H493" s="30">
        <v>0</v>
      </c>
      <c r="I493" s="30">
        <v>0</v>
      </c>
      <c r="J493" s="30">
        <v>0</v>
      </c>
      <c r="K493" s="30">
        <v>0</v>
      </c>
      <c r="L493" s="30">
        <v>0</v>
      </c>
      <c r="M493" s="30">
        <v>0</v>
      </c>
      <c r="N493" s="30">
        <v>0</v>
      </c>
      <c r="O493" s="30">
        <v>0</v>
      </c>
      <c r="P493" s="30">
        <v>0</v>
      </c>
      <c r="Q493" s="30">
        <v>0</v>
      </c>
      <c r="R493" s="30">
        <v>0</v>
      </c>
      <c r="S493" s="30">
        <v>0</v>
      </c>
      <c r="T493" s="30">
        <v>0</v>
      </c>
      <c r="U493" s="30">
        <v>0</v>
      </c>
      <c r="V493" s="30">
        <v>0</v>
      </c>
      <c r="W493" s="30">
        <v>0</v>
      </c>
      <c r="X493" s="30">
        <v>0</v>
      </c>
      <c r="Y493" s="30">
        <v>0</v>
      </c>
      <c r="Z493" s="30">
        <v>0</v>
      </c>
      <c r="AA493" s="30">
        <v>0</v>
      </c>
      <c r="AB493" s="30">
        <v>0</v>
      </c>
      <c r="AC493" s="30">
        <v>0</v>
      </c>
      <c r="AD493" s="30">
        <v>0</v>
      </c>
      <c r="AE493" s="30">
        <v>0</v>
      </c>
      <c r="AF493" s="30">
        <v>0</v>
      </c>
      <c r="AG493" s="30">
        <v>0</v>
      </c>
      <c r="AH493" s="30">
        <v>0</v>
      </c>
      <c r="AI493" s="30">
        <v>0</v>
      </c>
      <c r="AJ493" s="30">
        <v>0</v>
      </c>
      <c r="AK493" s="30">
        <v>0</v>
      </c>
      <c r="AL493" s="30"/>
      <c r="AM493" s="55">
        <f t="shared" si="61"/>
        <v>0</v>
      </c>
      <c r="AN493" s="55">
        <f t="shared" si="62"/>
        <v>0</v>
      </c>
      <c r="AO493" s="72"/>
      <c r="AP493" s="74" t="str">
        <f t="shared" si="63"/>
        <v/>
      </c>
      <c r="AQ493" s="74" t="str">
        <f t="shared" si="64"/>
        <v/>
      </c>
    </row>
    <row r="494" spans="1:43" ht="13.8" thickBot="1" x14ac:dyDescent="0.3">
      <c r="A494" s="68">
        <v>33</v>
      </c>
      <c r="B494" s="67" t="s">
        <v>215</v>
      </c>
      <c r="C494" s="69" t="s">
        <v>992</v>
      </c>
      <c r="D494" s="66" t="s">
        <v>198</v>
      </c>
      <c r="E494" s="66" t="s">
        <v>206</v>
      </c>
      <c r="F494" s="54"/>
      <c r="G494" s="54"/>
      <c r="H494" s="30">
        <v>0</v>
      </c>
      <c r="I494" s="30">
        <v>0</v>
      </c>
      <c r="J494" s="30">
        <v>0</v>
      </c>
      <c r="K494" s="30">
        <v>0</v>
      </c>
      <c r="L494" s="30">
        <v>0</v>
      </c>
      <c r="M494" s="30">
        <v>0</v>
      </c>
      <c r="N494" s="30">
        <v>0</v>
      </c>
      <c r="O494" s="30">
        <v>0</v>
      </c>
      <c r="P494" s="30">
        <v>0</v>
      </c>
      <c r="Q494" s="30">
        <v>0</v>
      </c>
      <c r="R494" s="30">
        <v>0</v>
      </c>
      <c r="S494" s="30">
        <v>0</v>
      </c>
      <c r="T494" s="30">
        <v>0</v>
      </c>
      <c r="U494" s="30">
        <v>0</v>
      </c>
      <c r="V494" s="30">
        <v>0</v>
      </c>
      <c r="W494" s="30">
        <v>0</v>
      </c>
      <c r="X494" s="30">
        <v>0</v>
      </c>
      <c r="Y494" s="30">
        <v>0</v>
      </c>
      <c r="Z494" s="30">
        <v>0</v>
      </c>
      <c r="AA494" s="30">
        <v>0</v>
      </c>
      <c r="AB494" s="30">
        <v>0</v>
      </c>
      <c r="AC494" s="30">
        <v>0</v>
      </c>
      <c r="AD494" s="30">
        <v>0</v>
      </c>
      <c r="AE494" s="30">
        <v>0</v>
      </c>
      <c r="AF494" s="30">
        <v>0</v>
      </c>
      <c r="AG494" s="30">
        <v>0</v>
      </c>
      <c r="AH494" s="30">
        <v>0</v>
      </c>
      <c r="AI494" s="30">
        <v>0</v>
      </c>
      <c r="AJ494" s="30">
        <v>0</v>
      </c>
      <c r="AK494" s="30">
        <v>0</v>
      </c>
      <c r="AL494" s="30"/>
      <c r="AM494" s="55">
        <f t="shared" si="61"/>
        <v>0</v>
      </c>
      <c r="AN494" s="55">
        <f t="shared" si="62"/>
        <v>0</v>
      </c>
      <c r="AO494" s="72"/>
      <c r="AP494" s="74" t="str">
        <f t="shared" si="63"/>
        <v/>
      </c>
      <c r="AQ494" s="74" t="str">
        <f t="shared" si="64"/>
        <v/>
      </c>
    </row>
    <row r="495" spans="1:43" ht="13.8" thickBot="1" x14ac:dyDescent="0.3">
      <c r="A495" s="68">
        <v>34</v>
      </c>
      <c r="B495" s="67" t="s">
        <v>226</v>
      </c>
      <c r="C495" s="69" t="s">
        <v>992</v>
      </c>
      <c r="D495" s="66" t="s">
        <v>230</v>
      </c>
      <c r="E495" s="66" t="s">
        <v>227</v>
      </c>
      <c r="F495" s="54"/>
      <c r="G495" s="54"/>
      <c r="H495" s="30">
        <v>0</v>
      </c>
      <c r="I495" s="30">
        <v>0</v>
      </c>
      <c r="J495" s="30">
        <v>0</v>
      </c>
      <c r="K495" s="30">
        <v>0</v>
      </c>
      <c r="L495" s="30">
        <v>0</v>
      </c>
      <c r="M495" s="30">
        <v>0</v>
      </c>
      <c r="N495" s="30">
        <v>0</v>
      </c>
      <c r="O495" s="30">
        <v>0</v>
      </c>
      <c r="P495" s="30">
        <v>0</v>
      </c>
      <c r="Q495" s="30">
        <v>0</v>
      </c>
      <c r="R495" s="30">
        <v>0</v>
      </c>
      <c r="S495" s="30">
        <v>0</v>
      </c>
      <c r="T495" s="30">
        <v>0</v>
      </c>
      <c r="U495" s="30">
        <v>0</v>
      </c>
      <c r="V495" s="30">
        <v>0</v>
      </c>
      <c r="W495" s="30">
        <v>0</v>
      </c>
      <c r="X495" s="30">
        <v>0</v>
      </c>
      <c r="Y495" s="30">
        <v>0</v>
      </c>
      <c r="Z495" s="30">
        <v>0</v>
      </c>
      <c r="AA495" s="30">
        <v>0</v>
      </c>
      <c r="AB495" s="30">
        <v>0</v>
      </c>
      <c r="AC495" s="30">
        <v>0</v>
      </c>
      <c r="AD495" s="30">
        <v>0</v>
      </c>
      <c r="AE495" s="30">
        <v>0</v>
      </c>
      <c r="AF495" s="30">
        <v>0</v>
      </c>
      <c r="AG495" s="30">
        <v>0</v>
      </c>
      <c r="AH495" s="30">
        <v>0</v>
      </c>
      <c r="AI495" s="30">
        <v>0</v>
      </c>
      <c r="AJ495" s="30">
        <v>0</v>
      </c>
      <c r="AK495" s="30">
        <v>0</v>
      </c>
      <c r="AL495" s="30"/>
      <c r="AM495" s="55">
        <f t="shared" si="61"/>
        <v>0</v>
      </c>
      <c r="AN495" s="55">
        <f t="shared" si="62"/>
        <v>0</v>
      </c>
      <c r="AO495" s="72"/>
      <c r="AP495" s="74" t="str">
        <f t="shared" si="63"/>
        <v/>
      </c>
      <c r="AQ495" s="74" t="str">
        <f t="shared" si="64"/>
        <v/>
      </c>
    </row>
    <row r="496" spans="1:43" ht="13.8" thickBot="1" x14ac:dyDescent="0.3">
      <c r="A496" s="68">
        <v>35</v>
      </c>
      <c r="B496" s="67"/>
      <c r="C496" s="69"/>
      <c r="D496" s="66"/>
      <c r="E496" s="66"/>
      <c r="F496" s="54"/>
      <c r="G496" s="54"/>
      <c r="H496" s="30">
        <v>0</v>
      </c>
      <c r="I496" s="30">
        <v>0</v>
      </c>
      <c r="J496" s="30">
        <v>0</v>
      </c>
      <c r="K496" s="30">
        <v>0</v>
      </c>
      <c r="L496" s="30">
        <v>0</v>
      </c>
      <c r="M496" s="30">
        <v>0</v>
      </c>
      <c r="N496" s="30">
        <v>0</v>
      </c>
      <c r="O496" s="30">
        <v>0</v>
      </c>
      <c r="P496" s="30">
        <v>0</v>
      </c>
      <c r="Q496" s="30">
        <v>0</v>
      </c>
      <c r="R496" s="30">
        <v>0</v>
      </c>
      <c r="S496" s="30">
        <v>0</v>
      </c>
      <c r="T496" s="30">
        <v>0</v>
      </c>
      <c r="U496" s="30">
        <v>0</v>
      </c>
      <c r="V496" s="30">
        <v>0</v>
      </c>
      <c r="W496" s="30">
        <v>0</v>
      </c>
      <c r="X496" s="30">
        <v>0</v>
      </c>
      <c r="Y496" s="30">
        <v>0</v>
      </c>
      <c r="Z496" s="30">
        <v>0</v>
      </c>
      <c r="AA496" s="30">
        <v>0</v>
      </c>
      <c r="AB496" s="30">
        <v>0</v>
      </c>
      <c r="AC496" s="30">
        <v>0</v>
      </c>
      <c r="AD496" s="30">
        <v>0</v>
      </c>
      <c r="AE496" s="30">
        <v>0</v>
      </c>
      <c r="AF496" s="30">
        <v>0</v>
      </c>
      <c r="AG496" s="30">
        <v>0</v>
      </c>
      <c r="AH496" s="30">
        <v>0</v>
      </c>
      <c r="AI496" s="30">
        <v>0</v>
      </c>
      <c r="AJ496" s="30">
        <v>0</v>
      </c>
      <c r="AK496" s="30">
        <v>0</v>
      </c>
      <c r="AL496" s="30"/>
      <c r="AM496" s="55">
        <f t="shared" si="61"/>
        <v>0</v>
      </c>
      <c r="AN496" s="55">
        <f t="shared" si="62"/>
        <v>0</v>
      </c>
      <c r="AO496" s="72"/>
      <c r="AP496" s="74" t="str">
        <f t="shared" si="63"/>
        <v/>
      </c>
      <c r="AQ496" s="74" t="str">
        <f t="shared" si="64"/>
        <v/>
      </c>
    </row>
    <row r="497" spans="1:43" ht="13.8" thickBot="1" x14ac:dyDescent="0.3">
      <c r="A497" s="68">
        <v>36</v>
      </c>
      <c r="B497" s="67"/>
      <c r="C497" s="69"/>
      <c r="D497" s="66"/>
      <c r="E497" s="66"/>
      <c r="F497" s="54"/>
      <c r="G497" s="54"/>
      <c r="H497" s="30">
        <v>0</v>
      </c>
      <c r="I497" s="30">
        <v>0</v>
      </c>
      <c r="J497" s="30">
        <v>0</v>
      </c>
      <c r="K497" s="30">
        <v>0</v>
      </c>
      <c r="L497" s="30">
        <v>0</v>
      </c>
      <c r="M497" s="30">
        <v>0</v>
      </c>
      <c r="N497" s="30">
        <v>0</v>
      </c>
      <c r="O497" s="30">
        <v>0</v>
      </c>
      <c r="P497" s="30">
        <v>0</v>
      </c>
      <c r="Q497" s="30">
        <v>0</v>
      </c>
      <c r="R497" s="30">
        <v>0</v>
      </c>
      <c r="S497" s="30">
        <v>0</v>
      </c>
      <c r="T497" s="30">
        <v>0</v>
      </c>
      <c r="U497" s="30">
        <v>0</v>
      </c>
      <c r="V497" s="30">
        <v>0</v>
      </c>
      <c r="W497" s="30">
        <v>0</v>
      </c>
      <c r="X497" s="30">
        <v>0</v>
      </c>
      <c r="Y497" s="30">
        <v>0</v>
      </c>
      <c r="Z497" s="30">
        <v>0</v>
      </c>
      <c r="AA497" s="30">
        <v>0</v>
      </c>
      <c r="AB497" s="30">
        <v>0</v>
      </c>
      <c r="AC497" s="30">
        <v>0</v>
      </c>
      <c r="AD497" s="30">
        <v>0</v>
      </c>
      <c r="AE497" s="30">
        <v>0</v>
      </c>
      <c r="AF497" s="30">
        <v>0</v>
      </c>
      <c r="AG497" s="30">
        <v>0</v>
      </c>
      <c r="AH497" s="30">
        <v>0</v>
      </c>
      <c r="AI497" s="30">
        <v>0</v>
      </c>
      <c r="AJ497" s="30">
        <v>0</v>
      </c>
      <c r="AK497" s="30">
        <v>0</v>
      </c>
      <c r="AL497" s="30"/>
      <c r="AM497" s="55">
        <f t="shared" si="61"/>
        <v>0</v>
      </c>
      <c r="AN497" s="55">
        <f t="shared" si="62"/>
        <v>0</v>
      </c>
      <c r="AO497" s="72"/>
      <c r="AP497" s="74" t="str">
        <f t="shared" si="63"/>
        <v/>
      </c>
      <c r="AQ497" s="74" t="str">
        <f t="shared" si="64"/>
        <v/>
      </c>
    </row>
    <row r="498" spans="1:43" ht="13.8" thickBot="1" x14ac:dyDescent="0.3">
      <c r="A498" s="68">
        <v>37</v>
      </c>
      <c r="B498" s="67"/>
      <c r="C498" s="69"/>
      <c r="D498" s="66"/>
      <c r="E498" s="66"/>
      <c r="F498" s="54"/>
      <c r="G498" s="54"/>
      <c r="H498" s="30">
        <v>0</v>
      </c>
      <c r="I498" s="30">
        <v>0</v>
      </c>
      <c r="J498" s="30">
        <v>0</v>
      </c>
      <c r="K498" s="30">
        <v>0</v>
      </c>
      <c r="L498" s="30">
        <v>0</v>
      </c>
      <c r="M498" s="30">
        <v>0</v>
      </c>
      <c r="N498" s="30">
        <v>0</v>
      </c>
      <c r="O498" s="30">
        <v>0</v>
      </c>
      <c r="P498" s="30">
        <v>0</v>
      </c>
      <c r="Q498" s="30">
        <v>0</v>
      </c>
      <c r="R498" s="30">
        <v>0</v>
      </c>
      <c r="S498" s="30">
        <v>0</v>
      </c>
      <c r="T498" s="30">
        <v>0</v>
      </c>
      <c r="U498" s="30">
        <v>0</v>
      </c>
      <c r="V498" s="30">
        <v>0</v>
      </c>
      <c r="W498" s="30">
        <v>0</v>
      </c>
      <c r="X498" s="30">
        <v>0</v>
      </c>
      <c r="Y498" s="30">
        <v>0</v>
      </c>
      <c r="Z498" s="30">
        <v>0</v>
      </c>
      <c r="AA498" s="30">
        <v>0</v>
      </c>
      <c r="AB498" s="30">
        <v>0</v>
      </c>
      <c r="AC498" s="30">
        <v>0</v>
      </c>
      <c r="AD498" s="30">
        <v>0</v>
      </c>
      <c r="AE498" s="30">
        <v>0</v>
      </c>
      <c r="AF498" s="30">
        <v>0</v>
      </c>
      <c r="AG498" s="30">
        <v>0</v>
      </c>
      <c r="AH498" s="30">
        <v>0</v>
      </c>
      <c r="AI498" s="30">
        <v>0</v>
      </c>
      <c r="AJ498" s="30">
        <v>0</v>
      </c>
      <c r="AK498" s="30">
        <v>0</v>
      </c>
      <c r="AL498" s="30"/>
      <c r="AM498" s="55">
        <f t="shared" si="61"/>
        <v>0</v>
      </c>
      <c r="AN498" s="55">
        <f t="shared" si="62"/>
        <v>0</v>
      </c>
      <c r="AO498" s="72"/>
      <c r="AP498" s="74" t="str">
        <f t="shared" si="63"/>
        <v/>
      </c>
      <c r="AQ498" s="74" t="str">
        <f t="shared" si="64"/>
        <v/>
      </c>
    </row>
    <row r="499" spans="1:43" ht="13.8" thickBot="1" x14ac:dyDescent="0.3">
      <c r="A499" s="68">
        <v>38</v>
      </c>
      <c r="B499" s="67"/>
      <c r="C499" s="69"/>
      <c r="D499" s="66"/>
      <c r="E499" s="66"/>
      <c r="F499" s="54"/>
      <c r="G499" s="54"/>
      <c r="H499" s="30">
        <v>0</v>
      </c>
      <c r="I499" s="30">
        <v>0</v>
      </c>
      <c r="J499" s="30">
        <v>0</v>
      </c>
      <c r="K499" s="30">
        <v>0</v>
      </c>
      <c r="L499" s="30">
        <v>0</v>
      </c>
      <c r="M499" s="30">
        <v>0</v>
      </c>
      <c r="N499" s="30">
        <v>0</v>
      </c>
      <c r="O499" s="30">
        <v>0</v>
      </c>
      <c r="P499" s="30">
        <v>0</v>
      </c>
      <c r="Q499" s="30">
        <v>0</v>
      </c>
      <c r="R499" s="30">
        <v>0</v>
      </c>
      <c r="S499" s="30">
        <v>0</v>
      </c>
      <c r="T499" s="30">
        <v>0</v>
      </c>
      <c r="U499" s="30">
        <v>0</v>
      </c>
      <c r="V499" s="30">
        <v>0</v>
      </c>
      <c r="W499" s="30">
        <v>0</v>
      </c>
      <c r="X499" s="30">
        <v>0</v>
      </c>
      <c r="Y499" s="30">
        <v>0</v>
      </c>
      <c r="Z499" s="30">
        <v>0</v>
      </c>
      <c r="AA499" s="30">
        <v>0</v>
      </c>
      <c r="AB499" s="30">
        <v>0</v>
      </c>
      <c r="AC499" s="30">
        <v>0</v>
      </c>
      <c r="AD499" s="30">
        <v>0</v>
      </c>
      <c r="AE499" s="30">
        <v>0</v>
      </c>
      <c r="AF499" s="30">
        <v>0</v>
      </c>
      <c r="AG499" s="30">
        <v>0</v>
      </c>
      <c r="AH499" s="30">
        <v>0</v>
      </c>
      <c r="AI499" s="30">
        <v>0</v>
      </c>
      <c r="AJ499" s="30">
        <v>0</v>
      </c>
      <c r="AK499" s="30">
        <v>0</v>
      </c>
      <c r="AL499" s="30"/>
      <c r="AM499" s="55">
        <f t="shared" si="61"/>
        <v>0</v>
      </c>
      <c r="AN499" s="55">
        <f t="shared" si="62"/>
        <v>0</v>
      </c>
      <c r="AO499" s="72"/>
      <c r="AP499" s="74" t="str">
        <f t="shared" si="63"/>
        <v/>
      </c>
      <c r="AQ499" s="74" t="str">
        <f t="shared" si="64"/>
        <v/>
      </c>
    </row>
    <row r="500" spans="1:43" ht="13.8" thickBot="1" x14ac:dyDescent="0.3">
      <c r="A500" s="68">
        <v>39</v>
      </c>
      <c r="B500" s="54"/>
      <c r="C500" s="54"/>
      <c r="D500" s="66"/>
      <c r="E500" s="66"/>
      <c r="F500" s="54"/>
      <c r="G500" s="54"/>
      <c r="H500" s="30">
        <v>0</v>
      </c>
      <c r="I500" s="30">
        <v>0</v>
      </c>
      <c r="J500" s="30">
        <v>0</v>
      </c>
      <c r="K500" s="30">
        <v>0</v>
      </c>
      <c r="L500" s="30">
        <v>0</v>
      </c>
      <c r="M500" s="30">
        <v>0</v>
      </c>
      <c r="N500" s="30">
        <v>0</v>
      </c>
      <c r="O500" s="30">
        <v>0</v>
      </c>
      <c r="P500" s="30">
        <v>0</v>
      </c>
      <c r="Q500" s="30">
        <v>0</v>
      </c>
      <c r="R500" s="30">
        <v>0</v>
      </c>
      <c r="S500" s="30">
        <v>0</v>
      </c>
      <c r="T500" s="30">
        <v>0</v>
      </c>
      <c r="U500" s="30">
        <v>0</v>
      </c>
      <c r="V500" s="30">
        <v>0</v>
      </c>
      <c r="W500" s="30">
        <v>0</v>
      </c>
      <c r="X500" s="30">
        <v>0</v>
      </c>
      <c r="Y500" s="30">
        <v>0</v>
      </c>
      <c r="Z500" s="30">
        <v>0</v>
      </c>
      <c r="AA500" s="30">
        <v>0</v>
      </c>
      <c r="AB500" s="30">
        <v>0</v>
      </c>
      <c r="AC500" s="30">
        <v>0</v>
      </c>
      <c r="AD500" s="30">
        <v>0</v>
      </c>
      <c r="AE500" s="30">
        <v>0</v>
      </c>
      <c r="AF500" s="30">
        <v>0</v>
      </c>
      <c r="AG500" s="30">
        <v>0</v>
      </c>
      <c r="AH500" s="30">
        <v>0</v>
      </c>
      <c r="AI500" s="30">
        <v>0</v>
      </c>
      <c r="AJ500" s="30">
        <v>0</v>
      </c>
      <c r="AK500" s="30">
        <v>0</v>
      </c>
      <c r="AL500" s="30"/>
      <c r="AM500" s="55">
        <f t="shared" si="61"/>
        <v>0</v>
      </c>
      <c r="AN500" s="55">
        <f t="shared" si="62"/>
        <v>0</v>
      </c>
      <c r="AO500" s="72"/>
      <c r="AP500" s="74" t="str">
        <f t="shared" si="63"/>
        <v/>
      </c>
      <c r="AQ500" s="74" t="str">
        <f t="shared" si="64"/>
        <v/>
      </c>
    </row>
    <row r="501" spans="1:43" ht="18.600000000000001" customHeight="1" thickBot="1" x14ac:dyDescent="0.3">
      <c r="A501" s="92"/>
      <c r="B501" s="93"/>
      <c r="C501" s="42"/>
      <c r="D501" s="42"/>
      <c r="E501" s="42"/>
      <c r="F501" s="42"/>
      <c r="G501" s="42"/>
      <c r="H501" s="55">
        <f t="shared" ref="H501:AN501" si="65">SUM(H461:H500)</f>
        <v>0</v>
      </c>
      <c r="I501" s="55">
        <f t="shared" si="65"/>
        <v>0</v>
      </c>
      <c r="J501" s="55">
        <f t="shared" si="65"/>
        <v>0</v>
      </c>
      <c r="K501" s="55">
        <f t="shared" si="65"/>
        <v>0</v>
      </c>
      <c r="L501" s="55">
        <f t="shared" si="65"/>
        <v>0</v>
      </c>
      <c r="M501" s="55">
        <f t="shared" si="65"/>
        <v>0</v>
      </c>
      <c r="N501" s="55">
        <f t="shared" si="65"/>
        <v>0</v>
      </c>
      <c r="O501" s="55">
        <f t="shared" si="65"/>
        <v>0</v>
      </c>
      <c r="P501" s="55">
        <f t="shared" si="65"/>
        <v>0</v>
      </c>
      <c r="Q501" s="55">
        <f t="shared" si="65"/>
        <v>0</v>
      </c>
      <c r="R501" s="55">
        <f t="shared" si="65"/>
        <v>0</v>
      </c>
      <c r="S501" s="55">
        <f t="shared" si="65"/>
        <v>0</v>
      </c>
      <c r="T501" s="55">
        <f t="shared" si="65"/>
        <v>0</v>
      </c>
      <c r="U501" s="55">
        <f t="shared" si="65"/>
        <v>0</v>
      </c>
      <c r="V501" s="55">
        <f t="shared" si="65"/>
        <v>0</v>
      </c>
      <c r="W501" s="55">
        <f t="shared" si="65"/>
        <v>0</v>
      </c>
      <c r="X501" s="55">
        <f t="shared" si="65"/>
        <v>0</v>
      </c>
      <c r="Y501" s="55">
        <f t="shared" si="65"/>
        <v>0</v>
      </c>
      <c r="Z501" s="55">
        <f t="shared" si="65"/>
        <v>0</v>
      </c>
      <c r="AA501" s="55">
        <f t="shared" si="65"/>
        <v>0</v>
      </c>
      <c r="AB501" s="55">
        <f t="shared" si="65"/>
        <v>0</v>
      </c>
      <c r="AC501" s="55">
        <f t="shared" si="65"/>
        <v>0</v>
      </c>
      <c r="AD501" s="55">
        <f t="shared" si="65"/>
        <v>0</v>
      </c>
      <c r="AE501" s="55">
        <f t="shared" si="65"/>
        <v>0</v>
      </c>
      <c r="AF501" s="55">
        <f t="shared" si="65"/>
        <v>0</v>
      </c>
      <c r="AG501" s="55">
        <f t="shared" si="65"/>
        <v>0</v>
      </c>
      <c r="AH501" s="55">
        <f t="shared" si="65"/>
        <v>0</v>
      </c>
      <c r="AI501" s="55">
        <f t="shared" si="65"/>
        <v>0</v>
      </c>
      <c r="AJ501" s="55">
        <f t="shared" si="65"/>
        <v>0</v>
      </c>
      <c r="AK501" s="55">
        <f t="shared" si="65"/>
        <v>0</v>
      </c>
      <c r="AL501" s="55">
        <f t="shared" si="65"/>
        <v>0</v>
      </c>
      <c r="AM501" s="30">
        <f t="shared" si="65"/>
        <v>0</v>
      </c>
      <c r="AN501" s="30">
        <f t="shared" si="65"/>
        <v>0</v>
      </c>
    </row>
    <row r="503" spans="1:43" ht="18.600000000000001" customHeight="1" x14ac:dyDescent="0.25">
      <c r="A503" s="92" t="s">
        <v>174</v>
      </c>
      <c r="B503" s="93"/>
      <c r="C503" s="42"/>
      <c r="D503" s="42"/>
      <c r="E503" s="42"/>
      <c r="F503" s="42"/>
      <c r="G503" s="42"/>
      <c r="H503" s="111">
        <v>45992</v>
      </c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  <c r="AC503" s="112"/>
      <c r="AD503" s="112"/>
      <c r="AE503" s="112"/>
      <c r="AF503" s="112"/>
      <c r="AG503" s="112"/>
      <c r="AH503" s="112"/>
      <c r="AI503" s="112"/>
      <c r="AJ503" s="112"/>
      <c r="AK503" s="112"/>
      <c r="AL503" s="112"/>
      <c r="AM503" s="140" t="s">
        <v>954</v>
      </c>
      <c r="AN503" s="146" t="s">
        <v>953</v>
      </c>
      <c r="AO503" s="148" t="s">
        <v>955</v>
      </c>
      <c r="AP503" s="144" t="s">
        <v>958</v>
      </c>
      <c r="AQ503" s="144"/>
    </row>
    <row r="504" spans="1:43" ht="30" customHeight="1" thickBot="1" x14ac:dyDescent="0.3">
      <c r="A504" s="138" t="s">
        <v>948</v>
      </c>
      <c r="B504" s="138" t="s">
        <v>947</v>
      </c>
      <c r="C504" s="138" t="s">
        <v>959</v>
      </c>
      <c r="D504" s="138" t="s">
        <v>949</v>
      </c>
      <c r="E504" s="138"/>
      <c r="F504" s="154" t="s">
        <v>192</v>
      </c>
      <c r="G504" s="142" t="s">
        <v>193</v>
      </c>
      <c r="H504" s="45">
        <v>1</v>
      </c>
      <c r="I504" s="45">
        <v>2</v>
      </c>
      <c r="J504" s="45">
        <v>3</v>
      </c>
      <c r="K504" s="45">
        <v>4</v>
      </c>
      <c r="L504" s="45">
        <v>5</v>
      </c>
      <c r="M504" s="45">
        <v>6</v>
      </c>
      <c r="N504" s="45">
        <v>7</v>
      </c>
      <c r="O504" s="45">
        <v>8</v>
      </c>
      <c r="P504" s="45">
        <v>9</v>
      </c>
      <c r="Q504" s="45">
        <v>10</v>
      </c>
      <c r="R504" s="45">
        <v>11</v>
      </c>
      <c r="S504" s="45">
        <v>12</v>
      </c>
      <c r="T504" s="45">
        <v>13</v>
      </c>
      <c r="U504" s="45">
        <v>14</v>
      </c>
      <c r="V504" s="45">
        <v>15</v>
      </c>
      <c r="W504" s="45">
        <v>16</v>
      </c>
      <c r="X504" s="45">
        <v>17</v>
      </c>
      <c r="Y504" s="45">
        <v>18</v>
      </c>
      <c r="Z504" s="45">
        <v>19</v>
      </c>
      <c r="AA504" s="45">
        <v>20</v>
      </c>
      <c r="AB504" s="45">
        <v>21</v>
      </c>
      <c r="AC504" s="45">
        <v>22</v>
      </c>
      <c r="AD504" s="45">
        <v>23</v>
      </c>
      <c r="AE504" s="45">
        <v>24</v>
      </c>
      <c r="AF504" s="45">
        <v>25</v>
      </c>
      <c r="AG504" s="45">
        <v>26</v>
      </c>
      <c r="AH504" s="45">
        <v>27</v>
      </c>
      <c r="AI504" s="45">
        <v>28</v>
      </c>
      <c r="AJ504" s="45">
        <v>29</v>
      </c>
      <c r="AK504" s="45">
        <v>30</v>
      </c>
      <c r="AL504" s="45" t="s">
        <v>177</v>
      </c>
      <c r="AM504" s="140"/>
      <c r="AN504" s="146"/>
      <c r="AO504" s="148"/>
      <c r="AP504" s="150" t="s">
        <v>956</v>
      </c>
      <c r="AQ504" s="152" t="s">
        <v>957</v>
      </c>
    </row>
    <row r="505" spans="1:43" ht="13.8" thickBot="1" x14ac:dyDescent="0.3">
      <c r="A505" s="139"/>
      <c r="B505" s="139"/>
      <c r="C505" s="145"/>
      <c r="D505" s="64" t="s">
        <v>950</v>
      </c>
      <c r="E505" s="64" t="s">
        <v>951</v>
      </c>
      <c r="F505" s="155"/>
      <c r="G505" s="143"/>
      <c r="H505" s="28" t="s">
        <v>179</v>
      </c>
      <c r="I505" s="28" t="s">
        <v>24</v>
      </c>
      <c r="J505" s="28" t="s">
        <v>24</v>
      </c>
      <c r="K505" s="28" t="s">
        <v>180</v>
      </c>
      <c r="L505" s="28" t="s">
        <v>181</v>
      </c>
      <c r="M505" s="28" t="s">
        <v>182</v>
      </c>
      <c r="N505" s="28" t="s">
        <v>183</v>
      </c>
      <c r="O505" s="28" t="s">
        <v>179</v>
      </c>
      <c r="P505" s="28" t="s">
        <v>24</v>
      </c>
      <c r="Q505" s="28" t="s">
        <v>24</v>
      </c>
      <c r="R505" s="28" t="s">
        <v>180</v>
      </c>
      <c r="S505" s="28" t="s">
        <v>181</v>
      </c>
      <c r="T505" s="28" t="s">
        <v>182</v>
      </c>
      <c r="U505" s="28" t="s">
        <v>183</v>
      </c>
      <c r="V505" s="28" t="s">
        <v>179</v>
      </c>
      <c r="W505" s="28" t="s">
        <v>24</v>
      </c>
      <c r="X505" s="28" t="s">
        <v>24</v>
      </c>
      <c r="Y505" s="28" t="s">
        <v>180</v>
      </c>
      <c r="Z505" s="28" t="s">
        <v>181</v>
      </c>
      <c r="AA505" s="28" t="s">
        <v>182</v>
      </c>
      <c r="AB505" s="28" t="s">
        <v>183</v>
      </c>
      <c r="AC505" s="28" t="s">
        <v>179</v>
      </c>
      <c r="AD505" s="28" t="s">
        <v>24</v>
      </c>
      <c r="AE505" s="28" t="s">
        <v>24</v>
      </c>
      <c r="AF505" s="28" t="s">
        <v>180</v>
      </c>
      <c r="AG505" s="28" t="s">
        <v>181</v>
      </c>
      <c r="AH505" s="28" t="s">
        <v>182</v>
      </c>
      <c r="AI505" s="28" t="s">
        <v>183</v>
      </c>
      <c r="AJ505" s="28" t="s">
        <v>179</v>
      </c>
      <c r="AK505" s="28" t="s">
        <v>24</v>
      </c>
      <c r="AL505" s="28" t="s">
        <v>24</v>
      </c>
      <c r="AM505" s="141"/>
      <c r="AN505" s="147"/>
      <c r="AO505" s="149"/>
      <c r="AP505" s="151"/>
      <c r="AQ505" s="153"/>
    </row>
    <row r="506" spans="1:43" ht="13.8" thickBot="1" x14ac:dyDescent="0.3">
      <c r="A506" s="68">
        <v>1</v>
      </c>
      <c r="B506" s="67" t="s">
        <v>965</v>
      </c>
      <c r="C506" s="66" t="s">
        <v>960</v>
      </c>
      <c r="D506" s="66" t="s">
        <v>213</v>
      </c>
      <c r="E506" s="69" t="s">
        <v>197</v>
      </c>
      <c r="F506" s="54"/>
      <c r="G506" s="54"/>
      <c r="H506" s="30">
        <v>0</v>
      </c>
      <c r="I506" s="30">
        <v>0</v>
      </c>
      <c r="J506" s="30">
        <v>0</v>
      </c>
      <c r="K506" s="30">
        <v>0</v>
      </c>
      <c r="L506" s="30">
        <v>0</v>
      </c>
      <c r="M506" s="30">
        <v>0</v>
      </c>
      <c r="N506" s="30">
        <v>0</v>
      </c>
      <c r="O506" s="30">
        <v>0</v>
      </c>
      <c r="P506" s="30">
        <v>0</v>
      </c>
      <c r="Q506" s="30">
        <v>0</v>
      </c>
      <c r="R506" s="30">
        <v>0</v>
      </c>
      <c r="S506" s="30">
        <v>0</v>
      </c>
      <c r="T506" s="30">
        <v>0</v>
      </c>
      <c r="U506" s="30">
        <v>0</v>
      </c>
      <c r="V506" s="30">
        <v>0</v>
      </c>
      <c r="W506" s="30">
        <v>0</v>
      </c>
      <c r="X506" s="30">
        <v>0</v>
      </c>
      <c r="Y506" s="30">
        <v>0</v>
      </c>
      <c r="Z506" s="30">
        <v>0</v>
      </c>
      <c r="AA506" s="30">
        <v>0</v>
      </c>
      <c r="AB506" s="30">
        <v>0</v>
      </c>
      <c r="AC506" s="30">
        <v>0</v>
      </c>
      <c r="AD506" s="30">
        <v>0</v>
      </c>
      <c r="AE506" s="30">
        <v>0</v>
      </c>
      <c r="AF506" s="30">
        <v>0</v>
      </c>
      <c r="AG506" s="30">
        <v>0</v>
      </c>
      <c r="AH506" s="30">
        <v>0</v>
      </c>
      <c r="AI506" s="30">
        <v>0</v>
      </c>
      <c r="AJ506" s="30">
        <v>0</v>
      </c>
      <c r="AK506" s="30">
        <v>0</v>
      </c>
      <c r="AL506" s="30">
        <v>0</v>
      </c>
      <c r="AM506" s="55">
        <f>SUM(H506:AL506)</f>
        <v>0</v>
      </c>
      <c r="AN506" s="55">
        <f>F506+G506-AM506</f>
        <v>0</v>
      </c>
      <c r="AO506" s="72"/>
      <c r="AP506" s="74" t="str">
        <f>IF(AO506="","",IF($A$2&lt;=AO506,IF((AO506-$A$2)&lt;=90,"ALERTA","A TIEMPO"),"CADUCADO"))</f>
        <v/>
      </c>
      <c r="AQ506" s="74" t="str">
        <f>IF(AO506="","",AO506-$A$2)</f>
        <v/>
      </c>
    </row>
    <row r="507" spans="1:43" ht="13.8" thickBot="1" x14ac:dyDescent="0.3">
      <c r="A507" s="68">
        <v>2</v>
      </c>
      <c r="B507" s="67" t="s">
        <v>965</v>
      </c>
      <c r="C507" s="66" t="s">
        <v>960</v>
      </c>
      <c r="D507" s="66" t="s">
        <v>224</v>
      </c>
      <c r="E507" s="71">
        <v>0.01</v>
      </c>
      <c r="F507" s="54"/>
      <c r="G507" s="54"/>
      <c r="H507" s="30">
        <v>0</v>
      </c>
      <c r="I507" s="30">
        <v>0</v>
      </c>
      <c r="J507" s="30">
        <v>0</v>
      </c>
      <c r="K507" s="30">
        <v>0</v>
      </c>
      <c r="L507" s="30">
        <v>0</v>
      </c>
      <c r="M507" s="30">
        <v>0</v>
      </c>
      <c r="N507" s="30">
        <v>0</v>
      </c>
      <c r="O507" s="30">
        <v>0</v>
      </c>
      <c r="P507" s="30">
        <v>0</v>
      </c>
      <c r="Q507" s="30">
        <v>0</v>
      </c>
      <c r="R507" s="30">
        <v>0</v>
      </c>
      <c r="S507" s="30">
        <v>0</v>
      </c>
      <c r="T507" s="30">
        <v>0</v>
      </c>
      <c r="U507" s="30">
        <v>0</v>
      </c>
      <c r="V507" s="30">
        <v>0</v>
      </c>
      <c r="W507" s="30">
        <v>0</v>
      </c>
      <c r="X507" s="30">
        <v>0</v>
      </c>
      <c r="Y507" s="30">
        <v>0</v>
      </c>
      <c r="Z507" s="30">
        <v>0</v>
      </c>
      <c r="AA507" s="30">
        <v>0</v>
      </c>
      <c r="AB507" s="30">
        <v>0</v>
      </c>
      <c r="AC507" s="30">
        <v>0</v>
      </c>
      <c r="AD507" s="30">
        <v>0</v>
      </c>
      <c r="AE507" s="30">
        <v>0</v>
      </c>
      <c r="AF507" s="30">
        <v>0</v>
      </c>
      <c r="AG507" s="30">
        <v>0</v>
      </c>
      <c r="AH507" s="30">
        <v>0</v>
      </c>
      <c r="AI507" s="30">
        <v>0</v>
      </c>
      <c r="AJ507" s="30">
        <v>0</v>
      </c>
      <c r="AK507" s="30">
        <v>0</v>
      </c>
      <c r="AL507" s="30">
        <v>0</v>
      </c>
      <c r="AM507" s="55">
        <f t="shared" ref="AM507:AM545" si="66">SUM(H507:AL507)</f>
        <v>0</v>
      </c>
      <c r="AN507" s="55">
        <f t="shared" ref="AN507:AN545" si="67">F507+G507-AM507</f>
        <v>0</v>
      </c>
      <c r="AO507" s="72"/>
      <c r="AP507" s="74" t="str">
        <f t="shared" ref="AP507:AP545" si="68">IF(AO507="","",IF($A$2&lt;=AO507,IF((AO507-$A$2)&lt;=90,"ALERTA","A TIEMPO"),"CADUCADO"))</f>
        <v/>
      </c>
      <c r="AQ507" s="74" t="str">
        <f t="shared" ref="AQ507:AQ545" si="69">IF(AO507="","",AO507-$A$2)</f>
        <v/>
      </c>
    </row>
    <row r="508" spans="1:43" ht="13.8" thickBot="1" x14ac:dyDescent="0.3">
      <c r="A508" s="68">
        <v>3</v>
      </c>
      <c r="B508" s="67" t="s">
        <v>211</v>
      </c>
      <c r="C508" s="66" t="s">
        <v>960</v>
      </c>
      <c r="D508" s="66" t="s">
        <v>198</v>
      </c>
      <c r="E508" s="69" t="s">
        <v>964</v>
      </c>
      <c r="F508" s="54"/>
      <c r="G508" s="54"/>
      <c r="H508" s="30">
        <v>0</v>
      </c>
      <c r="I508" s="30">
        <v>0</v>
      </c>
      <c r="J508" s="30">
        <v>0</v>
      </c>
      <c r="K508" s="30">
        <v>0</v>
      </c>
      <c r="L508" s="30">
        <v>0</v>
      </c>
      <c r="M508" s="30">
        <v>0</v>
      </c>
      <c r="N508" s="30">
        <v>0</v>
      </c>
      <c r="O508" s="30">
        <v>0</v>
      </c>
      <c r="P508" s="30">
        <v>0</v>
      </c>
      <c r="Q508" s="30">
        <v>0</v>
      </c>
      <c r="R508" s="30">
        <v>0</v>
      </c>
      <c r="S508" s="30">
        <v>0</v>
      </c>
      <c r="T508" s="30">
        <v>0</v>
      </c>
      <c r="U508" s="30">
        <v>0</v>
      </c>
      <c r="V508" s="30">
        <v>0</v>
      </c>
      <c r="W508" s="30">
        <v>0</v>
      </c>
      <c r="X508" s="30">
        <v>0</v>
      </c>
      <c r="Y508" s="30">
        <v>0</v>
      </c>
      <c r="Z508" s="30">
        <v>0</v>
      </c>
      <c r="AA508" s="30">
        <v>0</v>
      </c>
      <c r="AB508" s="30">
        <v>0</v>
      </c>
      <c r="AC508" s="30">
        <v>0</v>
      </c>
      <c r="AD508" s="30">
        <v>0</v>
      </c>
      <c r="AE508" s="30">
        <v>0</v>
      </c>
      <c r="AF508" s="30">
        <v>0</v>
      </c>
      <c r="AG508" s="30">
        <v>0</v>
      </c>
      <c r="AH508" s="30">
        <v>0</v>
      </c>
      <c r="AI508" s="30">
        <v>0</v>
      </c>
      <c r="AJ508" s="30">
        <v>0</v>
      </c>
      <c r="AK508" s="30">
        <v>0</v>
      </c>
      <c r="AL508" s="30">
        <v>0</v>
      </c>
      <c r="AM508" s="55">
        <f t="shared" si="66"/>
        <v>0</v>
      </c>
      <c r="AN508" s="55">
        <f t="shared" si="67"/>
        <v>0</v>
      </c>
      <c r="AO508" s="72"/>
      <c r="AP508" s="74" t="str">
        <f t="shared" si="68"/>
        <v/>
      </c>
      <c r="AQ508" s="74" t="str">
        <f t="shared" si="69"/>
        <v/>
      </c>
    </row>
    <row r="509" spans="1:43" ht="13.8" thickBot="1" x14ac:dyDescent="0.3">
      <c r="A509" s="68">
        <v>4</v>
      </c>
      <c r="B509" s="67" t="s">
        <v>985</v>
      </c>
      <c r="C509" s="66" t="s">
        <v>960</v>
      </c>
      <c r="D509" s="66" t="s">
        <v>198</v>
      </c>
      <c r="E509" s="70" t="s">
        <v>986</v>
      </c>
      <c r="F509" s="54"/>
      <c r="G509" s="54"/>
      <c r="H509" s="30">
        <v>0</v>
      </c>
      <c r="I509" s="30">
        <v>0</v>
      </c>
      <c r="J509" s="30">
        <v>0</v>
      </c>
      <c r="K509" s="30">
        <v>0</v>
      </c>
      <c r="L509" s="30">
        <v>0</v>
      </c>
      <c r="M509" s="30">
        <v>0</v>
      </c>
      <c r="N509" s="30">
        <v>0</v>
      </c>
      <c r="O509" s="30">
        <v>0</v>
      </c>
      <c r="P509" s="30">
        <v>0</v>
      </c>
      <c r="Q509" s="30">
        <v>0</v>
      </c>
      <c r="R509" s="30">
        <v>0</v>
      </c>
      <c r="S509" s="30">
        <v>0</v>
      </c>
      <c r="T509" s="30">
        <v>0</v>
      </c>
      <c r="U509" s="30">
        <v>0</v>
      </c>
      <c r="V509" s="30">
        <v>0</v>
      </c>
      <c r="W509" s="30">
        <v>0</v>
      </c>
      <c r="X509" s="30">
        <v>0</v>
      </c>
      <c r="Y509" s="30">
        <v>0</v>
      </c>
      <c r="Z509" s="30">
        <v>0</v>
      </c>
      <c r="AA509" s="30">
        <v>0</v>
      </c>
      <c r="AB509" s="30">
        <v>0</v>
      </c>
      <c r="AC509" s="30">
        <v>0</v>
      </c>
      <c r="AD509" s="30">
        <v>0</v>
      </c>
      <c r="AE509" s="30">
        <v>0</v>
      </c>
      <c r="AF509" s="30">
        <v>0</v>
      </c>
      <c r="AG509" s="30">
        <v>0</v>
      </c>
      <c r="AH509" s="30">
        <v>0</v>
      </c>
      <c r="AI509" s="30">
        <v>0</v>
      </c>
      <c r="AJ509" s="30">
        <v>0</v>
      </c>
      <c r="AK509" s="30">
        <v>0</v>
      </c>
      <c r="AL509" s="30">
        <v>0</v>
      </c>
      <c r="AM509" s="55">
        <f t="shared" si="66"/>
        <v>0</v>
      </c>
      <c r="AN509" s="55">
        <f t="shared" si="67"/>
        <v>0</v>
      </c>
      <c r="AO509" s="72"/>
      <c r="AP509" s="74" t="str">
        <f t="shared" si="68"/>
        <v/>
      </c>
      <c r="AQ509" s="74" t="str">
        <f t="shared" si="69"/>
        <v/>
      </c>
    </row>
    <row r="510" spans="1:43" ht="13.8" thickBot="1" x14ac:dyDescent="0.3">
      <c r="A510" s="68">
        <v>4</v>
      </c>
      <c r="B510" s="67" t="s">
        <v>963</v>
      </c>
      <c r="C510" s="66" t="s">
        <v>960</v>
      </c>
      <c r="D510" s="66" t="s">
        <v>213</v>
      </c>
      <c r="E510" s="70" t="s">
        <v>13</v>
      </c>
      <c r="F510" s="54"/>
      <c r="G510" s="54"/>
      <c r="H510" s="30">
        <v>0</v>
      </c>
      <c r="I510" s="30">
        <v>0</v>
      </c>
      <c r="J510" s="30">
        <v>0</v>
      </c>
      <c r="K510" s="30">
        <v>0</v>
      </c>
      <c r="L510" s="30">
        <v>0</v>
      </c>
      <c r="M510" s="30">
        <v>0</v>
      </c>
      <c r="N510" s="30">
        <v>0</v>
      </c>
      <c r="O510" s="30">
        <v>0</v>
      </c>
      <c r="P510" s="30">
        <v>0</v>
      </c>
      <c r="Q510" s="30">
        <v>0</v>
      </c>
      <c r="R510" s="30">
        <v>0</v>
      </c>
      <c r="S510" s="30">
        <v>0</v>
      </c>
      <c r="T510" s="30">
        <v>0</v>
      </c>
      <c r="U510" s="30">
        <v>0</v>
      </c>
      <c r="V510" s="30">
        <v>0</v>
      </c>
      <c r="W510" s="30">
        <v>0</v>
      </c>
      <c r="X510" s="30">
        <v>0</v>
      </c>
      <c r="Y510" s="30">
        <v>0</v>
      </c>
      <c r="Z510" s="30">
        <v>0</v>
      </c>
      <c r="AA510" s="30">
        <v>0</v>
      </c>
      <c r="AB510" s="30">
        <v>0</v>
      </c>
      <c r="AC510" s="30">
        <v>0</v>
      </c>
      <c r="AD510" s="30">
        <v>0</v>
      </c>
      <c r="AE510" s="30">
        <v>0</v>
      </c>
      <c r="AF510" s="30">
        <v>0</v>
      </c>
      <c r="AG510" s="30">
        <v>0</v>
      </c>
      <c r="AH510" s="30">
        <v>0</v>
      </c>
      <c r="AI510" s="30">
        <v>0</v>
      </c>
      <c r="AJ510" s="30">
        <v>0</v>
      </c>
      <c r="AK510" s="30">
        <v>0</v>
      </c>
      <c r="AL510" s="30">
        <v>0</v>
      </c>
      <c r="AM510" s="55">
        <f t="shared" si="66"/>
        <v>0</v>
      </c>
      <c r="AN510" s="55">
        <f t="shared" si="67"/>
        <v>0</v>
      </c>
      <c r="AO510" s="72"/>
      <c r="AP510" s="74" t="str">
        <f t="shared" si="68"/>
        <v/>
      </c>
      <c r="AQ510" s="74" t="str">
        <f t="shared" si="69"/>
        <v/>
      </c>
    </row>
    <row r="511" spans="1:43" ht="13.8" thickBot="1" x14ac:dyDescent="0.3">
      <c r="A511" s="68">
        <v>5</v>
      </c>
      <c r="B511" s="67" t="s">
        <v>228</v>
      </c>
      <c r="C511" s="66" t="s">
        <v>960</v>
      </c>
      <c r="D511" s="66" t="s">
        <v>213</v>
      </c>
      <c r="E511" s="69" t="s">
        <v>229</v>
      </c>
      <c r="F511" s="54"/>
      <c r="G511" s="54"/>
      <c r="H511" s="30">
        <v>0</v>
      </c>
      <c r="I511" s="30">
        <v>0</v>
      </c>
      <c r="J511" s="30">
        <v>0</v>
      </c>
      <c r="K511" s="30">
        <v>0</v>
      </c>
      <c r="L511" s="30">
        <v>0</v>
      </c>
      <c r="M511" s="30">
        <v>0</v>
      </c>
      <c r="N511" s="30">
        <v>0</v>
      </c>
      <c r="O511" s="30">
        <v>0</v>
      </c>
      <c r="P511" s="30">
        <v>0</v>
      </c>
      <c r="Q511" s="30">
        <v>0</v>
      </c>
      <c r="R511" s="30">
        <v>0</v>
      </c>
      <c r="S511" s="30">
        <v>0</v>
      </c>
      <c r="T511" s="30">
        <v>0</v>
      </c>
      <c r="U511" s="30">
        <v>0</v>
      </c>
      <c r="V511" s="30">
        <v>0</v>
      </c>
      <c r="W511" s="30">
        <v>0</v>
      </c>
      <c r="X511" s="30">
        <v>0</v>
      </c>
      <c r="Y511" s="30">
        <v>0</v>
      </c>
      <c r="Z511" s="30">
        <v>0</v>
      </c>
      <c r="AA511" s="30">
        <v>0</v>
      </c>
      <c r="AB511" s="30">
        <v>0</v>
      </c>
      <c r="AC511" s="30">
        <v>0</v>
      </c>
      <c r="AD511" s="30">
        <v>0</v>
      </c>
      <c r="AE511" s="30">
        <v>0</v>
      </c>
      <c r="AF511" s="30">
        <v>0</v>
      </c>
      <c r="AG511" s="30">
        <v>0</v>
      </c>
      <c r="AH511" s="30">
        <v>0</v>
      </c>
      <c r="AI511" s="30">
        <v>0</v>
      </c>
      <c r="AJ511" s="30">
        <v>0</v>
      </c>
      <c r="AK511" s="30">
        <v>0</v>
      </c>
      <c r="AL511" s="30">
        <v>0</v>
      </c>
      <c r="AM511" s="55">
        <f t="shared" si="66"/>
        <v>0</v>
      </c>
      <c r="AN511" s="55">
        <f t="shared" si="67"/>
        <v>0</v>
      </c>
      <c r="AO511" s="72"/>
      <c r="AP511" s="74" t="str">
        <f t="shared" si="68"/>
        <v/>
      </c>
      <c r="AQ511" s="74" t="str">
        <f t="shared" si="69"/>
        <v/>
      </c>
    </row>
    <row r="512" spans="1:43" ht="13.8" thickBot="1" x14ac:dyDescent="0.3">
      <c r="A512" s="68">
        <v>6</v>
      </c>
      <c r="B512" s="67" t="s">
        <v>968</v>
      </c>
      <c r="C512" s="66" t="s">
        <v>960</v>
      </c>
      <c r="D512" s="66" t="s">
        <v>198</v>
      </c>
      <c r="E512" s="69" t="s">
        <v>199</v>
      </c>
      <c r="F512" s="54"/>
      <c r="G512" s="54"/>
      <c r="H512" s="30">
        <v>0</v>
      </c>
      <c r="I512" s="30">
        <v>0</v>
      </c>
      <c r="J512" s="30">
        <v>0</v>
      </c>
      <c r="K512" s="30">
        <v>0</v>
      </c>
      <c r="L512" s="30">
        <v>0</v>
      </c>
      <c r="M512" s="30">
        <v>0</v>
      </c>
      <c r="N512" s="30">
        <v>0</v>
      </c>
      <c r="O512" s="30">
        <v>0</v>
      </c>
      <c r="P512" s="30">
        <v>0</v>
      </c>
      <c r="Q512" s="30">
        <v>0</v>
      </c>
      <c r="R512" s="30">
        <v>0</v>
      </c>
      <c r="S512" s="30">
        <v>0</v>
      </c>
      <c r="T512" s="30">
        <v>0</v>
      </c>
      <c r="U512" s="30">
        <v>0</v>
      </c>
      <c r="V512" s="30">
        <v>0</v>
      </c>
      <c r="W512" s="30">
        <v>0</v>
      </c>
      <c r="X512" s="30">
        <v>0</v>
      </c>
      <c r="Y512" s="30">
        <v>0</v>
      </c>
      <c r="Z512" s="30">
        <v>0</v>
      </c>
      <c r="AA512" s="30">
        <v>0</v>
      </c>
      <c r="AB512" s="30">
        <v>0</v>
      </c>
      <c r="AC512" s="30">
        <v>0</v>
      </c>
      <c r="AD512" s="30">
        <v>0</v>
      </c>
      <c r="AE512" s="30">
        <v>0</v>
      </c>
      <c r="AF512" s="30">
        <v>0</v>
      </c>
      <c r="AG512" s="30">
        <v>0</v>
      </c>
      <c r="AH512" s="30">
        <v>0</v>
      </c>
      <c r="AI512" s="30">
        <v>0</v>
      </c>
      <c r="AJ512" s="30">
        <v>0</v>
      </c>
      <c r="AK512" s="30">
        <v>0</v>
      </c>
      <c r="AL512" s="30">
        <v>0</v>
      </c>
      <c r="AM512" s="55">
        <f t="shared" si="66"/>
        <v>0</v>
      </c>
      <c r="AN512" s="55">
        <f t="shared" si="67"/>
        <v>0</v>
      </c>
      <c r="AO512" s="72"/>
      <c r="AP512" s="74" t="str">
        <f t="shared" si="68"/>
        <v/>
      </c>
      <c r="AQ512" s="74" t="str">
        <f t="shared" si="69"/>
        <v/>
      </c>
    </row>
    <row r="513" spans="1:43" ht="13.8" thickBot="1" x14ac:dyDescent="0.3">
      <c r="A513" s="68">
        <v>7</v>
      </c>
      <c r="B513" s="67" t="s">
        <v>220</v>
      </c>
      <c r="C513" s="66" t="s">
        <v>960</v>
      </c>
      <c r="D513" s="66" t="s">
        <v>198</v>
      </c>
      <c r="E513" s="69" t="s">
        <v>195</v>
      </c>
      <c r="F513" s="54"/>
      <c r="G513" s="54"/>
      <c r="H513" s="30">
        <v>0</v>
      </c>
      <c r="I513" s="30">
        <v>0</v>
      </c>
      <c r="J513" s="30">
        <v>0</v>
      </c>
      <c r="K513" s="30">
        <v>0</v>
      </c>
      <c r="L513" s="30">
        <v>0</v>
      </c>
      <c r="M513" s="30">
        <v>0</v>
      </c>
      <c r="N513" s="30">
        <v>0</v>
      </c>
      <c r="O513" s="30">
        <v>0</v>
      </c>
      <c r="P513" s="30">
        <v>0</v>
      </c>
      <c r="Q513" s="30">
        <v>0</v>
      </c>
      <c r="R513" s="30">
        <v>0</v>
      </c>
      <c r="S513" s="30">
        <v>0</v>
      </c>
      <c r="T513" s="30">
        <v>0</v>
      </c>
      <c r="U513" s="30">
        <v>0</v>
      </c>
      <c r="V513" s="30">
        <v>0</v>
      </c>
      <c r="W513" s="30">
        <v>0</v>
      </c>
      <c r="X513" s="30">
        <v>0</v>
      </c>
      <c r="Y513" s="30">
        <v>0</v>
      </c>
      <c r="Z513" s="30">
        <v>0</v>
      </c>
      <c r="AA513" s="30">
        <v>0</v>
      </c>
      <c r="AB513" s="30">
        <v>0</v>
      </c>
      <c r="AC513" s="30">
        <v>0</v>
      </c>
      <c r="AD513" s="30">
        <v>0</v>
      </c>
      <c r="AE513" s="30">
        <v>0</v>
      </c>
      <c r="AF513" s="30">
        <v>0</v>
      </c>
      <c r="AG513" s="30">
        <v>0</v>
      </c>
      <c r="AH513" s="30">
        <v>0</v>
      </c>
      <c r="AI513" s="30">
        <v>0</v>
      </c>
      <c r="AJ513" s="30">
        <v>0</v>
      </c>
      <c r="AK513" s="30">
        <v>0</v>
      </c>
      <c r="AL513" s="30">
        <v>0</v>
      </c>
      <c r="AM513" s="55">
        <f t="shared" si="66"/>
        <v>0</v>
      </c>
      <c r="AN513" s="55">
        <f t="shared" si="67"/>
        <v>0</v>
      </c>
      <c r="AO513" s="72"/>
      <c r="AP513" s="74" t="str">
        <f t="shared" si="68"/>
        <v/>
      </c>
      <c r="AQ513" s="74" t="str">
        <f t="shared" si="69"/>
        <v/>
      </c>
    </row>
    <row r="514" spans="1:43" ht="13.8" thickBot="1" x14ac:dyDescent="0.3">
      <c r="A514" s="68">
        <v>8</v>
      </c>
      <c r="B514" s="67" t="s">
        <v>962</v>
      </c>
      <c r="C514" s="66" t="s">
        <v>960</v>
      </c>
      <c r="D514" s="66" t="s">
        <v>198</v>
      </c>
      <c r="E514" s="69" t="s">
        <v>961</v>
      </c>
      <c r="F514" s="54"/>
      <c r="G514" s="54"/>
      <c r="H514" s="30">
        <v>0</v>
      </c>
      <c r="I514" s="30">
        <v>0</v>
      </c>
      <c r="J514" s="30">
        <v>0</v>
      </c>
      <c r="K514" s="30">
        <v>0</v>
      </c>
      <c r="L514" s="30">
        <v>0</v>
      </c>
      <c r="M514" s="30">
        <v>0</v>
      </c>
      <c r="N514" s="30">
        <v>0</v>
      </c>
      <c r="O514" s="30">
        <v>0</v>
      </c>
      <c r="P514" s="30">
        <v>0</v>
      </c>
      <c r="Q514" s="30">
        <v>0</v>
      </c>
      <c r="R514" s="30">
        <v>0</v>
      </c>
      <c r="S514" s="30">
        <v>0</v>
      </c>
      <c r="T514" s="30">
        <v>0</v>
      </c>
      <c r="U514" s="30">
        <v>0</v>
      </c>
      <c r="V514" s="30">
        <v>0</v>
      </c>
      <c r="W514" s="30">
        <v>0</v>
      </c>
      <c r="X514" s="30">
        <v>0</v>
      </c>
      <c r="Y514" s="30">
        <v>0</v>
      </c>
      <c r="Z514" s="30">
        <v>0</v>
      </c>
      <c r="AA514" s="30">
        <v>0</v>
      </c>
      <c r="AB514" s="30">
        <v>0</v>
      </c>
      <c r="AC514" s="30">
        <v>0</v>
      </c>
      <c r="AD514" s="30">
        <v>0</v>
      </c>
      <c r="AE514" s="30">
        <v>0</v>
      </c>
      <c r="AF514" s="30">
        <v>0</v>
      </c>
      <c r="AG514" s="30">
        <v>0</v>
      </c>
      <c r="AH514" s="30">
        <v>0</v>
      </c>
      <c r="AI514" s="30">
        <v>0</v>
      </c>
      <c r="AJ514" s="30">
        <v>0</v>
      </c>
      <c r="AK514" s="30">
        <v>0</v>
      </c>
      <c r="AL514" s="30">
        <v>0</v>
      </c>
      <c r="AM514" s="55">
        <f t="shared" si="66"/>
        <v>0</v>
      </c>
      <c r="AN514" s="55">
        <f t="shared" si="67"/>
        <v>0</v>
      </c>
      <c r="AO514" s="72"/>
      <c r="AP514" s="74" t="str">
        <f t="shared" si="68"/>
        <v/>
      </c>
      <c r="AQ514" s="74" t="str">
        <f t="shared" si="69"/>
        <v/>
      </c>
    </row>
    <row r="515" spans="1:43" ht="13.8" thickBot="1" x14ac:dyDescent="0.3">
      <c r="A515" s="68">
        <v>9</v>
      </c>
      <c r="B515" s="67" t="s">
        <v>966</v>
      </c>
      <c r="C515" s="66" t="s">
        <v>960</v>
      </c>
      <c r="D515" s="66" t="s">
        <v>201</v>
      </c>
      <c r="E515" s="69" t="s">
        <v>967</v>
      </c>
      <c r="F515" s="54"/>
      <c r="G515" s="54"/>
      <c r="H515" s="30">
        <v>0</v>
      </c>
      <c r="I515" s="30">
        <v>0</v>
      </c>
      <c r="J515" s="30">
        <v>0</v>
      </c>
      <c r="K515" s="30">
        <v>0</v>
      </c>
      <c r="L515" s="30">
        <v>0</v>
      </c>
      <c r="M515" s="30">
        <v>0</v>
      </c>
      <c r="N515" s="30">
        <v>0</v>
      </c>
      <c r="O515" s="30">
        <v>0</v>
      </c>
      <c r="P515" s="30">
        <v>0</v>
      </c>
      <c r="Q515" s="30">
        <v>0</v>
      </c>
      <c r="R515" s="30">
        <v>0</v>
      </c>
      <c r="S515" s="30">
        <v>0</v>
      </c>
      <c r="T515" s="30">
        <v>0</v>
      </c>
      <c r="U515" s="30">
        <v>0</v>
      </c>
      <c r="V515" s="30">
        <v>0</v>
      </c>
      <c r="W515" s="30">
        <v>0</v>
      </c>
      <c r="X515" s="30">
        <v>0</v>
      </c>
      <c r="Y515" s="30">
        <v>0</v>
      </c>
      <c r="Z515" s="30">
        <v>0</v>
      </c>
      <c r="AA515" s="30">
        <v>0</v>
      </c>
      <c r="AB515" s="30">
        <v>0</v>
      </c>
      <c r="AC515" s="30">
        <v>0</v>
      </c>
      <c r="AD515" s="30">
        <v>0</v>
      </c>
      <c r="AE515" s="30">
        <v>0</v>
      </c>
      <c r="AF515" s="30">
        <v>0</v>
      </c>
      <c r="AG515" s="30">
        <v>0</v>
      </c>
      <c r="AH515" s="30">
        <v>0</v>
      </c>
      <c r="AI515" s="30">
        <v>0</v>
      </c>
      <c r="AJ515" s="30">
        <v>0</v>
      </c>
      <c r="AK515" s="30">
        <v>0</v>
      </c>
      <c r="AL515" s="30">
        <v>0</v>
      </c>
      <c r="AM515" s="55">
        <f t="shared" si="66"/>
        <v>0</v>
      </c>
      <c r="AN515" s="55">
        <f t="shared" si="67"/>
        <v>0</v>
      </c>
      <c r="AO515" s="72"/>
      <c r="AP515" s="74" t="str">
        <f t="shared" si="68"/>
        <v/>
      </c>
      <c r="AQ515" s="74" t="str">
        <f t="shared" si="69"/>
        <v/>
      </c>
    </row>
    <row r="516" spans="1:43" ht="13.8" thickBot="1" x14ac:dyDescent="0.3">
      <c r="A516" s="68">
        <v>10</v>
      </c>
      <c r="B516" s="67" t="s">
        <v>194</v>
      </c>
      <c r="C516" s="66" t="s">
        <v>969</v>
      </c>
      <c r="D516" s="66" t="s">
        <v>198</v>
      </c>
      <c r="E516" s="69" t="s">
        <v>195</v>
      </c>
      <c r="F516" s="54"/>
      <c r="G516" s="54"/>
      <c r="H516" s="30">
        <v>0</v>
      </c>
      <c r="I516" s="30">
        <v>0</v>
      </c>
      <c r="J516" s="30">
        <v>0</v>
      </c>
      <c r="K516" s="30">
        <v>0</v>
      </c>
      <c r="L516" s="30">
        <v>0</v>
      </c>
      <c r="M516" s="30">
        <v>0</v>
      </c>
      <c r="N516" s="30">
        <v>0</v>
      </c>
      <c r="O516" s="30">
        <v>0</v>
      </c>
      <c r="P516" s="30">
        <v>0</v>
      </c>
      <c r="Q516" s="30">
        <v>0</v>
      </c>
      <c r="R516" s="30">
        <v>0</v>
      </c>
      <c r="S516" s="30">
        <v>0</v>
      </c>
      <c r="T516" s="30">
        <v>0</v>
      </c>
      <c r="U516" s="30">
        <v>0</v>
      </c>
      <c r="V516" s="30">
        <v>0</v>
      </c>
      <c r="W516" s="30">
        <v>0</v>
      </c>
      <c r="X516" s="30">
        <v>0</v>
      </c>
      <c r="Y516" s="30">
        <v>0</v>
      </c>
      <c r="Z516" s="30">
        <v>0</v>
      </c>
      <c r="AA516" s="30">
        <v>0</v>
      </c>
      <c r="AB516" s="30">
        <v>0</v>
      </c>
      <c r="AC516" s="30">
        <v>0</v>
      </c>
      <c r="AD516" s="30">
        <v>0</v>
      </c>
      <c r="AE516" s="30">
        <v>0</v>
      </c>
      <c r="AF516" s="30">
        <v>0</v>
      </c>
      <c r="AG516" s="30">
        <v>0</v>
      </c>
      <c r="AH516" s="30">
        <v>0</v>
      </c>
      <c r="AI516" s="30">
        <v>0</v>
      </c>
      <c r="AJ516" s="30">
        <v>0</v>
      </c>
      <c r="AK516" s="30">
        <v>0</v>
      </c>
      <c r="AL516" s="30">
        <v>0</v>
      </c>
      <c r="AM516" s="55">
        <f t="shared" si="66"/>
        <v>0</v>
      </c>
      <c r="AN516" s="55">
        <f t="shared" si="67"/>
        <v>0</v>
      </c>
      <c r="AO516" s="72"/>
      <c r="AP516" s="74" t="str">
        <f t="shared" si="68"/>
        <v/>
      </c>
      <c r="AQ516" s="74" t="str">
        <f t="shared" si="69"/>
        <v/>
      </c>
    </row>
    <row r="517" spans="1:43" ht="13.8" thickBot="1" x14ac:dyDescent="0.3">
      <c r="A517" s="68">
        <v>11</v>
      </c>
      <c r="B517" s="67" t="s">
        <v>200</v>
      </c>
      <c r="C517" s="66" t="s">
        <v>969</v>
      </c>
      <c r="D517" s="66" t="s">
        <v>198</v>
      </c>
      <c r="E517" s="69" t="s">
        <v>970</v>
      </c>
      <c r="F517" s="54"/>
      <c r="G517" s="54"/>
      <c r="H517" s="30">
        <v>0</v>
      </c>
      <c r="I517" s="30">
        <v>0</v>
      </c>
      <c r="J517" s="30">
        <v>0</v>
      </c>
      <c r="K517" s="30">
        <v>0</v>
      </c>
      <c r="L517" s="30">
        <v>0</v>
      </c>
      <c r="M517" s="30">
        <v>0</v>
      </c>
      <c r="N517" s="30">
        <v>0</v>
      </c>
      <c r="O517" s="30">
        <v>0</v>
      </c>
      <c r="P517" s="30">
        <v>0</v>
      </c>
      <c r="Q517" s="30">
        <v>0</v>
      </c>
      <c r="R517" s="30">
        <v>0</v>
      </c>
      <c r="S517" s="30">
        <v>0</v>
      </c>
      <c r="T517" s="30">
        <v>0</v>
      </c>
      <c r="U517" s="30">
        <v>0</v>
      </c>
      <c r="V517" s="30">
        <v>0</v>
      </c>
      <c r="W517" s="30">
        <v>0</v>
      </c>
      <c r="X517" s="30">
        <v>0</v>
      </c>
      <c r="Y517" s="30">
        <v>0</v>
      </c>
      <c r="Z517" s="30">
        <v>0</v>
      </c>
      <c r="AA517" s="30">
        <v>0</v>
      </c>
      <c r="AB517" s="30">
        <v>0</v>
      </c>
      <c r="AC517" s="30">
        <v>0</v>
      </c>
      <c r="AD517" s="30">
        <v>0</v>
      </c>
      <c r="AE517" s="30">
        <v>0</v>
      </c>
      <c r="AF517" s="30">
        <v>0</v>
      </c>
      <c r="AG517" s="30">
        <v>0</v>
      </c>
      <c r="AH517" s="30">
        <v>0</v>
      </c>
      <c r="AI517" s="30">
        <v>0</v>
      </c>
      <c r="AJ517" s="30">
        <v>0</v>
      </c>
      <c r="AK517" s="30">
        <v>0</v>
      </c>
      <c r="AL517" s="30">
        <v>0</v>
      </c>
      <c r="AM517" s="55">
        <f t="shared" si="66"/>
        <v>0</v>
      </c>
      <c r="AN517" s="55">
        <f t="shared" si="67"/>
        <v>0</v>
      </c>
      <c r="AO517" s="72"/>
      <c r="AP517" s="74" t="str">
        <f t="shared" si="68"/>
        <v/>
      </c>
      <c r="AQ517" s="74" t="str">
        <f t="shared" si="69"/>
        <v/>
      </c>
    </row>
    <row r="518" spans="1:43" ht="13.8" thickBot="1" x14ac:dyDescent="0.3">
      <c r="A518" s="68">
        <v>12</v>
      </c>
      <c r="B518" s="67" t="s">
        <v>972</v>
      </c>
      <c r="C518" s="69" t="s">
        <v>971</v>
      </c>
      <c r="D518" s="66" t="s">
        <v>213</v>
      </c>
      <c r="E518" s="69" t="s">
        <v>203</v>
      </c>
      <c r="F518" s="54"/>
      <c r="G518" s="54"/>
      <c r="H518" s="30">
        <v>0</v>
      </c>
      <c r="I518" s="30">
        <v>0</v>
      </c>
      <c r="J518" s="30">
        <v>0</v>
      </c>
      <c r="K518" s="30">
        <v>0</v>
      </c>
      <c r="L518" s="30">
        <v>0</v>
      </c>
      <c r="M518" s="30">
        <v>0</v>
      </c>
      <c r="N518" s="30">
        <v>0</v>
      </c>
      <c r="O518" s="30">
        <v>0</v>
      </c>
      <c r="P518" s="30">
        <v>0</v>
      </c>
      <c r="Q518" s="30">
        <v>0</v>
      </c>
      <c r="R518" s="30">
        <v>0</v>
      </c>
      <c r="S518" s="30">
        <v>0</v>
      </c>
      <c r="T518" s="30">
        <v>0</v>
      </c>
      <c r="U518" s="30">
        <v>0</v>
      </c>
      <c r="V518" s="30">
        <v>0</v>
      </c>
      <c r="W518" s="30">
        <v>0</v>
      </c>
      <c r="X518" s="30">
        <v>0</v>
      </c>
      <c r="Y518" s="30">
        <v>0</v>
      </c>
      <c r="Z518" s="30">
        <v>0</v>
      </c>
      <c r="AA518" s="30">
        <v>0</v>
      </c>
      <c r="AB518" s="30">
        <v>0</v>
      </c>
      <c r="AC518" s="30">
        <v>0</v>
      </c>
      <c r="AD518" s="30">
        <v>0</v>
      </c>
      <c r="AE518" s="30">
        <v>0</v>
      </c>
      <c r="AF518" s="30">
        <v>0</v>
      </c>
      <c r="AG518" s="30">
        <v>0</v>
      </c>
      <c r="AH518" s="30">
        <v>0</v>
      </c>
      <c r="AI518" s="30">
        <v>0</v>
      </c>
      <c r="AJ518" s="30">
        <v>0</v>
      </c>
      <c r="AK518" s="30">
        <v>0</v>
      </c>
      <c r="AL518" s="30">
        <v>0</v>
      </c>
      <c r="AM518" s="55">
        <f t="shared" si="66"/>
        <v>0</v>
      </c>
      <c r="AN518" s="55">
        <f t="shared" si="67"/>
        <v>0</v>
      </c>
      <c r="AO518" s="72"/>
      <c r="AP518" s="74" t="str">
        <f t="shared" si="68"/>
        <v/>
      </c>
      <c r="AQ518" s="74" t="str">
        <f t="shared" si="69"/>
        <v/>
      </c>
    </row>
    <row r="519" spans="1:43" ht="13.8" thickBot="1" x14ac:dyDescent="0.3">
      <c r="A519" s="68">
        <v>13</v>
      </c>
      <c r="B519" s="67" t="s">
        <v>212</v>
      </c>
      <c r="C519" s="69" t="s">
        <v>971</v>
      </c>
      <c r="D519" s="66" t="s">
        <v>213</v>
      </c>
      <c r="E519" s="69" t="s">
        <v>203</v>
      </c>
      <c r="F519" s="54"/>
      <c r="G519" s="54"/>
      <c r="H519" s="30">
        <v>0</v>
      </c>
      <c r="I519" s="30">
        <v>0</v>
      </c>
      <c r="J519" s="30">
        <v>0</v>
      </c>
      <c r="K519" s="30">
        <v>0</v>
      </c>
      <c r="L519" s="30">
        <v>0</v>
      </c>
      <c r="M519" s="30">
        <v>0</v>
      </c>
      <c r="N519" s="30">
        <v>0</v>
      </c>
      <c r="O519" s="30">
        <v>0</v>
      </c>
      <c r="P519" s="30">
        <v>0</v>
      </c>
      <c r="Q519" s="30">
        <v>0</v>
      </c>
      <c r="R519" s="30">
        <v>0</v>
      </c>
      <c r="S519" s="30">
        <v>0</v>
      </c>
      <c r="T519" s="30">
        <v>0</v>
      </c>
      <c r="U519" s="30">
        <v>0</v>
      </c>
      <c r="V519" s="30">
        <v>0</v>
      </c>
      <c r="W519" s="30">
        <v>0</v>
      </c>
      <c r="X519" s="30">
        <v>0</v>
      </c>
      <c r="Y519" s="30">
        <v>0</v>
      </c>
      <c r="Z519" s="30">
        <v>0</v>
      </c>
      <c r="AA519" s="30">
        <v>0</v>
      </c>
      <c r="AB519" s="30">
        <v>0</v>
      </c>
      <c r="AC519" s="30">
        <v>0</v>
      </c>
      <c r="AD519" s="30">
        <v>0</v>
      </c>
      <c r="AE519" s="30">
        <v>0</v>
      </c>
      <c r="AF519" s="30">
        <v>0</v>
      </c>
      <c r="AG519" s="30">
        <v>0</v>
      </c>
      <c r="AH519" s="30">
        <v>0</v>
      </c>
      <c r="AI519" s="30">
        <v>0</v>
      </c>
      <c r="AJ519" s="30">
        <v>0</v>
      </c>
      <c r="AK519" s="30">
        <v>0</v>
      </c>
      <c r="AL519" s="30">
        <v>0</v>
      </c>
      <c r="AM519" s="55">
        <f t="shared" si="66"/>
        <v>0</v>
      </c>
      <c r="AN519" s="55">
        <f t="shared" si="67"/>
        <v>0</v>
      </c>
      <c r="AO519" s="72"/>
      <c r="AP519" s="74" t="str">
        <f t="shared" si="68"/>
        <v/>
      </c>
      <c r="AQ519" s="74" t="str">
        <f t="shared" si="69"/>
        <v/>
      </c>
    </row>
    <row r="520" spans="1:43" ht="13.8" thickBot="1" x14ac:dyDescent="0.3">
      <c r="A520" s="68">
        <v>14</v>
      </c>
      <c r="B520" s="67" t="s">
        <v>204</v>
      </c>
      <c r="C520" s="69" t="s">
        <v>46</v>
      </c>
      <c r="D520" s="66" t="s">
        <v>198</v>
      </c>
      <c r="E520" s="70" t="s">
        <v>13</v>
      </c>
      <c r="F520" s="54"/>
      <c r="G520" s="54"/>
      <c r="H520" s="30">
        <v>0</v>
      </c>
      <c r="I520" s="30">
        <v>0</v>
      </c>
      <c r="J520" s="30">
        <v>0</v>
      </c>
      <c r="K520" s="30">
        <v>0</v>
      </c>
      <c r="L520" s="30">
        <v>0</v>
      </c>
      <c r="M520" s="30">
        <v>0</v>
      </c>
      <c r="N520" s="30">
        <v>0</v>
      </c>
      <c r="O520" s="30">
        <v>0</v>
      </c>
      <c r="P520" s="30">
        <v>0</v>
      </c>
      <c r="Q520" s="30">
        <v>0</v>
      </c>
      <c r="R520" s="30">
        <v>0</v>
      </c>
      <c r="S520" s="30">
        <v>0</v>
      </c>
      <c r="T520" s="30">
        <v>0</v>
      </c>
      <c r="U520" s="30">
        <v>0</v>
      </c>
      <c r="V520" s="30">
        <v>0</v>
      </c>
      <c r="W520" s="30">
        <v>0</v>
      </c>
      <c r="X520" s="30">
        <v>0</v>
      </c>
      <c r="Y520" s="30">
        <v>0</v>
      </c>
      <c r="Z520" s="30">
        <v>0</v>
      </c>
      <c r="AA520" s="30">
        <v>0</v>
      </c>
      <c r="AB520" s="30">
        <v>0</v>
      </c>
      <c r="AC520" s="30">
        <v>0</v>
      </c>
      <c r="AD520" s="30">
        <v>0</v>
      </c>
      <c r="AE520" s="30">
        <v>0</v>
      </c>
      <c r="AF520" s="30">
        <v>0</v>
      </c>
      <c r="AG520" s="30">
        <v>0</v>
      </c>
      <c r="AH520" s="30">
        <v>0</v>
      </c>
      <c r="AI520" s="30">
        <v>0</v>
      </c>
      <c r="AJ520" s="30">
        <v>0</v>
      </c>
      <c r="AK520" s="30">
        <v>0</v>
      </c>
      <c r="AL520" s="30">
        <v>0</v>
      </c>
      <c r="AM520" s="55">
        <f t="shared" si="66"/>
        <v>0</v>
      </c>
      <c r="AN520" s="55">
        <f t="shared" si="67"/>
        <v>0</v>
      </c>
      <c r="AO520" s="72"/>
      <c r="AP520" s="74" t="str">
        <f t="shared" si="68"/>
        <v/>
      </c>
      <c r="AQ520" s="74" t="str">
        <f t="shared" si="69"/>
        <v/>
      </c>
    </row>
    <row r="521" spans="1:43" ht="13.8" thickBot="1" x14ac:dyDescent="0.3">
      <c r="A521" s="68">
        <v>15</v>
      </c>
      <c r="B521" s="67" t="s">
        <v>973</v>
      </c>
      <c r="C521" s="69" t="s">
        <v>46</v>
      </c>
      <c r="D521" s="66" t="s">
        <v>201</v>
      </c>
      <c r="E521" s="69" t="s">
        <v>203</v>
      </c>
      <c r="F521" s="54"/>
      <c r="G521" s="54"/>
      <c r="H521" s="30">
        <v>0</v>
      </c>
      <c r="I521" s="30">
        <v>0</v>
      </c>
      <c r="J521" s="30">
        <v>0</v>
      </c>
      <c r="K521" s="30">
        <v>0</v>
      </c>
      <c r="L521" s="30">
        <v>0</v>
      </c>
      <c r="M521" s="30">
        <v>0</v>
      </c>
      <c r="N521" s="30">
        <v>0</v>
      </c>
      <c r="O521" s="30">
        <v>0</v>
      </c>
      <c r="P521" s="30">
        <v>0</v>
      </c>
      <c r="Q521" s="30">
        <v>0</v>
      </c>
      <c r="R521" s="30">
        <v>0</v>
      </c>
      <c r="S521" s="30">
        <v>0</v>
      </c>
      <c r="T521" s="30">
        <v>0</v>
      </c>
      <c r="U521" s="30">
        <v>0</v>
      </c>
      <c r="V521" s="30">
        <v>0</v>
      </c>
      <c r="W521" s="30">
        <v>0</v>
      </c>
      <c r="X521" s="30">
        <v>0</v>
      </c>
      <c r="Y521" s="30">
        <v>0</v>
      </c>
      <c r="Z521" s="30">
        <v>0</v>
      </c>
      <c r="AA521" s="30">
        <v>0</v>
      </c>
      <c r="AB521" s="30">
        <v>0</v>
      </c>
      <c r="AC521" s="30">
        <v>0</v>
      </c>
      <c r="AD521" s="30">
        <v>0</v>
      </c>
      <c r="AE521" s="30">
        <v>0</v>
      </c>
      <c r="AF521" s="30">
        <v>0</v>
      </c>
      <c r="AG521" s="30">
        <v>0</v>
      </c>
      <c r="AH521" s="30">
        <v>0</v>
      </c>
      <c r="AI521" s="30">
        <v>0</v>
      </c>
      <c r="AJ521" s="30">
        <v>0</v>
      </c>
      <c r="AK521" s="30">
        <v>0</v>
      </c>
      <c r="AL521" s="30">
        <v>0</v>
      </c>
      <c r="AM521" s="55">
        <f t="shared" si="66"/>
        <v>0</v>
      </c>
      <c r="AN521" s="55">
        <f t="shared" si="67"/>
        <v>0</v>
      </c>
      <c r="AO521" s="72"/>
      <c r="AP521" s="74" t="str">
        <f t="shared" si="68"/>
        <v/>
      </c>
      <c r="AQ521" s="74" t="str">
        <f t="shared" si="69"/>
        <v/>
      </c>
    </row>
    <row r="522" spans="1:43" ht="13.8" thickBot="1" x14ac:dyDescent="0.3">
      <c r="A522" s="68">
        <v>16</v>
      </c>
      <c r="B522" s="67" t="s">
        <v>218</v>
      </c>
      <c r="C522" s="69" t="s">
        <v>46</v>
      </c>
      <c r="D522" s="66" t="s">
        <v>198</v>
      </c>
      <c r="E522" s="69" t="s">
        <v>975</v>
      </c>
      <c r="F522" s="54"/>
      <c r="G522" s="54"/>
      <c r="H522" s="30">
        <v>0</v>
      </c>
      <c r="I522" s="30">
        <v>0</v>
      </c>
      <c r="J522" s="30">
        <v>0</v>
      </c>
      <c r="K522" s="30">
        <v>0</v>
      </c>
      <c r="L522" s="30">
        <v>0</v>
      </c>
      <c r="M522" s="30">
        <v>0</v>
      </c>
      <c r="N522" s="30">
        <v>0</v>
      </c>
      <c r="O522" s="30">
        <v>0</v>
      </c>
      <c r="P522" s="30">
        <v>0</v>
      </c>
      <c r="Q522" s="30">
        <v>0</v>
      </c>
      <c r="R522" s="30">
        <v>0</v>
      </c>
      <c r="S522" s="30">
        <v>0</v>
      </c>
      <c r="T522" s="30">
        <v>0</v>
      </c>
      <c r="U522" s="30">
        <v>0</v>
      </c>
      <c r="V522" s="30">
        <v>0</v>
      </c>
      <c r="W522" s="30">
        <v>0</v>
      </c>
      <c r="X522" s="30">
        <v>0</v>
      </c>
      <c r="Y522" s="30">
        <v>0</v>
      </c>
      <c r="Z522" s="30">
        <v>0</v>
      </c>
      <c r="AA522" s="30">
        <v>0</v>
      </c>
      <c r="AB522" s="30">
        <v>0</v>
      </c>
      <c r="AC522" s="30">
        <v>0</v>
      </c>
      <c r="AD522" s="30">
        <v>0</v>
      </c>
      <c r="AE522" s="30">
        <v>0</v>
      </c>
      <c r="AF522" s="30">
        <v>0</v>
      </c>
      <c r="AG522" s="30">
        <v>0</v>
      </c>
      <c r="AH522" s="30">
        <v>0</v>
      </c>
      <c r="AI522" s="30">
        <v>0</v>
      </c>
      <c r="AJ522" s="30">
        <v>0</v>
      </c>
      <c r="AK522" s="30">
        <v>0</v>
      </c>
      <c r="AL522" s="30">
        <v>0</v>
      </c>
      <c r="AM522" s="55">
        <f t="shared" si="66"/>
        <v>0</v>
      </c>
      <c r="AN522" s="55">
        <f t="shared" si="67"/>
        <v>0</v>
      </c>
      <c r="AO522" s="72"/>
      <c r="AP522" s="74" t="str">
        <f t="shared" si="68"/>
        <v/>
      </c>
      <c r="AQ522" s="74" t="str">
        <f t="shared" si="69"/>
        <v/>
      </c>
    </row>
    <row r="523" spans="1:43" ht="13.8" thickBot="1" x14ac:dyDescent="0.3">
      <c r="A523" s="68">
        <v>17</v>
      </c>
      <c r="B523" s="67" t="s">
        <v>974</v>
      </c>
      <c r="C523" s="69" t="s">
        <v>46</v>
      </c>
      <c r="D523" s="66" t="s">
        <v>210</v>
      </c>
      <c r="E523" s="70" t="s">
        <v>13</v>
      </c>
      <c r="F523" s="54"/>
      <c r="G523" s="54"/>
      <c r="H523" s="30">
        <v>0</v>
      </c>
      <c r="I523" s="30">
        <v>0</v>
      </c>
      <c r="J523" s="30">
        <v>0</v>
      </c>
      <c r="K523" s="30">
        <v>0</v>
      </c>
      <c r="L523" s="30">
        <v>0</v>
      </c>
      <c r="M523" s="30">
        <v>0</v>
      </c>
      <c r="N523" s="30">
        <v>0</v>
      </c>
      <c r="O523" s="30">
        <v>0</v>
      </c>
      <c r="P523" s="30">
        <v>0</v>
      </c>
      <c r="Q523" s="30">
        <v>0</v>
      </c>
      <c r="R523" s="30">
        <v>0</v>
      </c>
      <c r="S523" s="30">
        <v>0</v>
      </c>
      <c r="T523" s="30">
        <v>0</v>
      </c>
      <c r="U523" s="30">
        <v>0</v>
      </c>
      <c r="V523" s="30">
        <v>0</v>
      </c>
      <c r="W523" s="30">
        <v>0</v>
      </c>
      <c r="X523" s="30">
        <v>0</v>
      </c>
      <c r="Y523" s="30">
        <v>0</v>
      </c>
      <c r="Z523" s="30">
        <v>0</v>
      </c>
      <c r="AA523" s="30">
        <v>0</v>
      </c>
      <c r="AB523" s="30">
        <v>0</v>
      </c>
      <c r="AC523" s="30">
        <v>0</v>
      </c>
      <c r="AD523" s="30">
        <v>0</v>
      </c>
      <c r="AE523" s="30">
        <v>0</v>
      </c>
      <c r="AF523" s="30">
        <v>0</v>
      </c>
      <c r="AG523" s="30">
        <v>0</v>
      </c>
      <c r="AH523" s="30">
        <v>0</v>
      </c>
      <c r="AI523" s="30">
        <v>0</v>
      </c>
      <c r="AJ523" s="30">
        <v>0</v>
      </c>
      <c r="AK523" s="30">
        <v>0</v>
      </c>
      <c r="AL523" s="30">
        <v>0</v>
      </c>
      <c r="AM523" s="55">
        <f t="shared" si="66"/>
        <v>0</v>
      </c>
      <c r="AN523" s="55">
        <f t="shared" si="67"/>
        <v>0</v>
      </c>
      <c r="AO523" s="72"/>
      <c r="AP523" s="74" t="str">
        <f t="shared" si="68"/>
        <v/>
      </c>
      <c r="AQ523" s="74" t="str">
        <f t="shared" si="69"/>
        <v/>
      </c>
    </row>
    <row r="524" spans="1:43" ht="13.8" thickBot="1" x14ac:dyDescent="0.3">
      <c r="A524" s="68">
        <v>18</v>
      </c>
      <c r="B524" s="67" t="s">
        <v>221</v>
      </c>
      <c r="C524" s="69" t="s">
        <v>46</v>
      </c>
      <c r="D524" s="66" t="s">
        <v>976</v>
      </c>
      <c r="E524" s="70" t="s">
        <v>13</v>
      </c>
      <c r="F524" s="54"/>
      <c r="G524" s="54"/>
      <c r="H524" s="30">
        <v>0</v>
      </c>
      <c r="I524" s="30">
        <v>0</v>
      </c>
      <c r="J524" s="30">
        <v>0</v>
      </c>
      <c r="K524" s="30">
        <v>0</v>
      </c>
      <c r="L524" s="30">
        <v>0</v>
      </c>
      <c r="M524" s="30">
        <v>0</v>
      </c>
      <c r="N524" s="30">
        <v>0</v>
      </c>
      <c r="O524" s="30">
        <v>0</v>
      </c>
      <c r="P524" s="30">
        <v>0</v>
      </c>
      <c r="Q524" s="30">
        <v>0</v>
      </c>
      <c r="R524" s="30">
        <v>0</v>
      </c>
      <c r="S524" s="30">
        <v>0</v>
      </c>
      <c r="T524" s="30">
        <v>0</v>
      </c>
      <c r="U524" s="30">
        <v>0</v>
      </c>
      <c r="V524" s="30">
        <v>0</v>
      </c>
      <c r="W524" s="30">
        <v>0</v>
      </c>
      <c r="X524" s="30">
        <v>0</v>
      </c>
      <c r="Y524" s="30">
        <v>0</v>
      </c>
      <c r="Z524" s="30">
        <v>0</v>
      </c>
      <c r="AA524" s="30">
        <v>0</v>
      </c>
      <c r="AB524" s="30">
        <v>0</v>
      </c>
      <c r="AC524" s="30">
        <v>0</v>
      </c>
      <c r="AD524" s="30">
        <v>0</v>
      </c>
      <c r="AE524" s="30">
        <v>0</v>
      </c>
      <c r="AF524" s="30">
        <v>0</v>
      </c>
      <c r="AG524" s="30">
        <v>0</v>
      </c>
      <c r="AH524" s="30">
        <v>0</v>
      </c>
      <c r="AI524" s="30">
        <v>0</v>
      </c>
      <c r="AJ524" s="30">
        <v>0</v>
      </c>
      <c r="AK524" s="30">
        <v>0</v>
      </c>
      <c r="AL524" s="30">
        <v>0</v>
      </c>
      <c r="AM524" s="55">
        <f t="shared" si="66"/>
        <v>0</v>
      </c>
      <c r="AN524" s="55">
        <f t="shared" si="67"/>
        <v>0</v>
      </c>
      <c r="AO524" s="72"/>
      <c r="AP524" s="74" t="str">
        <f t="shared" si="68"/>
        <v/>
      </c>
      <c r="AQ524" s="74" t="str">
        <f t="shared" si="69"/>
        <v/>
      </c>
    </row>
    <row r="525" spans="1:43" ht="13.8" thickBot="1" x14ac:dyDescent="0.3">
      <c r="A525" s="68">
        <v>19</v>
      </c>
      <c r="B525" s="67" t="s">
        <v>223</v>
      </c>
      <c r="C525" s="69" t="s">
        <v>977</v>
      </c>
      <c r="D525" s="66" t="s">
        <v>224</v>
      </c>
      <c r="E525" s="69" t="s">
        <v>978</v>
      </c>
      <c r="F525" s="54"/>
      <c r="G525" s="54"/>
      <c r="H525" s="30">
        <v>0</v>
      </c>
      <c r="I525" s="30">
        <v>0</v>
      </c>
      <c r="J525" s="30">
        <v>0</v>
      </c>
      <c r="K525" s="30">
        <v>0</v>
      </c>
      <c r="L525" s="30">
        <v>0</v>
      </c>
      <c r="M525" s="30">
        <v>0</v>
      </c>
      <c r="N525" s="30">
        <v>0</v>
      </c>
      <c r="O525" s="30">
        <v>0</v>
      </c>
      <c r="P525" s="30">
        <v>0</v>
      </c>
      <c r="Q525" s="30">
        <v>0</v>
      </c>
      <c r="R525" s="30">
        <v>0</v>
      </c>
      <c r="S525" s="30">
        <v>0</v>
      </c>
      <c r="T525" s="30">
        <v>0</v>
      </c>
      <c r="U525" s="30">
        <v>0</v>
      </c>
      <c r="V525" s="30">
        <v>0</v>
      </c>
      <c r="W525" s="30">
        <v>0</v>
      </c>
      <c r="X525" s="30">
        <v>0</v>
      </c>
      <c r="Y525" s="30">
        <v>0</v>
      </c>
      <c r="Z525" s="30">
        <v>0</v>
      </c>
      <c r="AA525" s="30">
        <v>0</v>
      </c>
      <c r="AB525" s="30">
        <v>0</v>
      </c>
      <c r="AC525" s="30">
        <v>0</v>
      </c>
      <c r="AD525" s="30">
        <v>0</v>
      </c>
      <c r="AE525" s="30">
        <v>0</v>
      </c>
      <c r="AF525" s="30">
        <v>0</v>
      </c>
      <c r="AG525" s="30">
        <v>0</v>
      </c>
      <c r="AH525" s="30">
        <v>0</v>
      </c>
      <c r="AI525" s="30">
        <v>0</v>
      </c>
      <c r="AJ525" s="30">
        <v>0</v>
      </c>
      <c r="AK525" s="30">
        <v>0</v>
      </c>
      <c r="AL525" s="30">
        <v>0</v>
      </c>
      <c r="AM525" s="55">
        <f t="shared" si="66"/>
        <v>0</v>
      </c>
      <c r="AN525" s="55">
        <f t="shared" si="67"/>
        <v>0</v>
      </c>
      <c r="AO525" s="72"/>
      <c r="AP525" s="74" t="str">
        <f t="shared" si="68"/>
        <v/>
      </c>
      <c r="AQ525" s="74" t="str">
        <f t="shared" si="69"/>
        <v/>
      </c>
    </row>
    <row r="526" spans="1:43" ht="13.8" thickBot="1" x14ac:dyDescent="0.3">
      <c r="A526" s="68">
        <v>20</v>
      </c>
      <c r="B526" s="67" t="s">
        <v>205</v>
      </c>
      <c r="C526" s="69" t="s">
        <v>979</v>
      </c>
      <c r="D526" s="66" t="s">
        <v>201</v>
      </c>
      <c r="E526" s="70" t="s">
        <v>13</v>
      </c>
      <c r="F526" s="54"/>
      <c r="G526" s="54"/>
      <c r="H526" s="30">
        <v>0</v>
      </c>
      <c r="I526" s="30">
        <v>0</v>
      </c>
      <c r="J526" s="30">
        <v>0</v>
      </c>
      <c r="K526" s="30">
        <v>0</v>
      </c>
      <c r="L526" s="30">
        <v>0</v>
      </c>
      <c r="M526" s="30">
        <v>0</v>
      </c>
      <c r="N526" s="30">
        <v>0</v>
      </c>
      <c r="O526" s="30">
        <v>0</v>
      </c>
      <c r="P526" s="30">
        <v>0</v>
      </c>
      <c r="Q526" s="30">
        <v>0</v>
      </c>
      <c r="R526" s="30">
        <v>0</v>
      </c>
      <c r="S526" s="30">
        <v>0</v>
      </c>
      <c r="T526" s="30">
        <v>0</v>
      </c>
      <c r="U526" s="30">
        <v>0</v>
      </c>
      <c r="V526" s="30">
        <v>0</v>
      </c>
      <c r="W526" s="30">
        <v>0</v>
      </c>
      <c r="X526" s="30">
        <v>0</v>
      </c>
      <c r="Y526" s="30">
        <v>0</v>
      </c>
      <c r="Z526" s="30">
        <v>0</v>
      </c>
      <c r="AA526" s="30">
        <v>0</v>
      </c>
      <c r="AB526" s="30">
        <v>0</v>
      </c>
      <c r="AC526" s="30">
        <v>0</v>
      </c>
      <c r="AD526" s="30">
        <v>0</v>
      </c>
      <c r="AE526" s="30">
        <v>0</v>
      </c>
      <c r="AF526" s="30">
        <v>0</v>
      </c>
      <c r="AG526" s="30">
        <v>0</v>
      </c>
      <c r="AH526" s="30">
        <v>0</v>
      </c>
      <c r="AI526" s="30">
        <v>0</v>
      </c>
      <c r="AJ526" s="30">
        <v>0</v>
      </c>
      <c r="AK526" s="30">
        <v>0</v>
      </c>
      <c r="AL526" s="30">
        <v>0</v>
      </c>
      <c r="AM526" s="55">
        <f t="shared" si="66"/>
        <v>0</v>
      </c>
      <c r="AN526" s="55">
        <f t="shared" si="67"/>
        <v>0</v>
      </c>
      <c r="AO526" s="72"/>
      <c r="AP526" s="74" t="str">
        <f t="shared" si="68"/>
        <v/>
      </c>
      <c r="AQ526" s="74" t="str">
        <f t="shared" si="69"/>
        <v/>
      </c>
    </row>
    <row r="527" spans="1:43" ht="13.8" thickBot="1" x14ac:dyDescent="0.3">
      <c r="A527" s="68">
        <v>21</v>
      </c>
      <c r="B527" s="67" t="s">
        <v>209</v>
      </c>
      <c r="C527" s="69" t="s">
        <v>979</v>
      </c>
      <c r="D527" s="66" t="s">
        <v>210</v>
      </c>
      <c r="E527" s="70" t="s">
        <v>13</v>
      </c>
      <c r="F527" s="54"/>
      <c r="G527" s="54"/>
      <c r="H527" s="30">
        <v>0</v>
      </c>
      <c r="I527" s="30">
        <v>0</v>
      </c>
      <c r="J527" s="30">
        <v>0</v>
      </c>
      <c r="K527" s="30">
        <v>0</v>
      </c>
      <c r="L527" s="30">
        <v>0</v>
      </c>
      <c r="M527" s="30">
        <v>0</v>
      </c>
      <c r="N527" s="30">
        <v>0</v>
      </c>
      <c r="O527" s="30">
        <v>0</v>
      </c>
      <c r="P527" s="30">
        <v>0</v>
      </c>
      <c r="Q527" s="30">
        <v>0</v>
      </c>
      <c r="R527" s="30">
        <v>0</v>
      </c>
      <c r="S527" s="30">
        <v>0</v>
      </c>
      <c r="T527" s="30">
        <v>0</v>
      </c>
      <c r="U527" s="30">
        <v>0</v>
      </c>
      <c r="V527" s="30">
        <v>0</v>
      </c>
      <c r="W527" s="30">
        <v>0</v>
      </c>
      <c r="X527" s="30">
        <v>0</v>
      </c>
      <c r="Y527" s="30">
        <v>0</v>
      </c>
      <c r="Z527" s="30">
        <v>0</v>
      </c>
      <c r="AA527" s="30">
        <v>0</v>
      </c>
      <c r="AB527" s="30">
        <v>0</v>
      </c>
      <c r="AC527" s="30">
        <v>0</v>
      </c>
      <c r="AD527" s="30">
        <v>0</v>
      </c>
      <c r="AE527" s="30">
        <v>0</v>
      </c>
      <c r="AF527" s="30">
        <v>0</v>
      </c>
      <c r="AG527" s="30">
        <v>0</v>
      </c>
      <c r="AH527" s="30">
        <v>0</v>
      </c>
      <c r="AI527" s="30">
        <v>0</v>
      </c>
      <c r="AJ527" s="30">
        <v>0</v>
      </c>
      <c r="AK527" s="30">
        <v>0</v>
      </c>
      <c r="AL527" s="30">
        <v>0</v>
      </c>
      <c r="AM527" s="55">
        <f t="shared" si="66"/>
        <v>0</v>
      </c>
      <c r="AN527" s="55">
        <f t="shared" si="67"/>
        <v>0</v>
      </c>
      <c r="AO527" s="72"/>
      <c r="AP527" s="74" t="str">
        <f t="shared" si="68"/>
        <v/>
      </c>
      <c r="AQ527" s="74" t="str">
        <f t="shared" si="69"/>
        <v/>
      </c>
    </row>
    <row r="528" spans="1:43" ht="13.8" thickBot="1" x14ac:dyDescent="0.3">
      <c r="A528" s="68">
        <v>22</v>
      </c>
      <c r="B528" s="67" t="s">
        <v>207</v>
      </c>
      <c r="C528" s="69" t="s">
        <v>980</v>
      </c>
      <c r="D528" s="66" t="s">
        <v>201</v>
      </c>
      <c r="E528" s="69" t="s">
        <v>208</v>
      </c>
      <c r="F528" s="54"/>
      <c r="G528" s="54"/>
      <c r="H528" s="30">
        <v>0</v>
      </c>
      <c r="I528" s="30">
        <v>0</v>
      </c>
      <c r="J528" s="30">
        <v>0</v>
      </c>
      <c r="K528" s="30">
        <v>0</v>
      </c>
      <c r="L528" s="30">
        <v>0</v>
      </c>
      <c r="M528" s="30">
        <v>0</v>
      </c>
      <c r="N528" s="30">
        <v>0</v>
      </c>
      <c r="O528" s="30">
        <v>0</v>
      </c>
      <c r="P528" s="30">
        <v>0</v>
      </c>
      <c r="Q528" s="30">
        <v>0</v>
      </c>
      <c r="R528" s="30">
        <v>0</v>
      </c>
      <c r="S528" s="30">
        <v>0</v>
      </c>
      <c r="T528" s="30">
        <v>0</v>
      </c>
      <c r="U528" s="30">
        <v>0</v>
      </c>
      <c r="V528" s="30">
        <v>0</v>
      </c>
      <c r="W528" s="30">
        <v>0</v>
      </c>
      <c r="X528" s="30">
        <v>0</v>
      </c>
      <c r="Y528" s="30">
        <v>0</v>
      </c>
      <c r="Z528" s="30">
        <v>0</v>
      </c>
      <c r="AA528" s="30">
        <v>0</v>
      </c>
      <c r="AB528" s="30">
        <v>0</v>
      </c>
      <c r="AC528" s="30">
        <v>0</v>
      </c>
      <c r="AD528" s="30">
        <v>0</v>
      </c>
      <c r="AE528" s="30">
        <v>0</v>
      </c>
      <c r="AF528" s="30">
        <v>0</v>
      </c>
      <c r="AG528" s="30">
        <v>0</v>
      </c>
      <c r="AH528" s="30">
        <v>0</v>
      </c>
      <c r="AI528" s="30">
        <v>0</v>
      </c>
      <c r="AJ528" s="30">
        <v>0</v>
      </c>
      <c r="AK528" s="30">
        <v>0</v>
      </c>
      <c r="AL528" s="30">
        <v>0</v>
      </c>
      <c r="AM528" s="55">
        <f t="shared" si="66"/>
        <v>0</v>
      </c>
      <c r="AN528" s="55">
        <f t="shared" si="67"/>
        <v>0</v>
      </c>
      <c r="AO528" s="72"/>
      <c r="AP528" s="74" t="str">
        <f t="shared" si="68"/>
        <v/>
      </c>
      <c r="AQ528" s="74" t="str">
        <f t="shared" si="69"/>
        <v/>
      </c>
    </row>
    <row r="529" spans="1:43" ht="13.8" thickBot="1" x14ac:dyDescent="0.3">
      <c r="A529" s="68">
        <v>23</v>
      </c>
      <c r="B529" s="67" t="s">
        <v>982</v>
      </c>
      <c r="C529" s="69" t="s">
        <v>981</v>
      </c>
      <c r="D529" s="66" t="s">
        <v>201</v>
      </c>
      <c r="E529" s="71">
        <v>0.02</v>
      </c>
      <c r="F529" s="54"/>
      <c r="G529" s="54"/>
      <c r="H529" s="30">
        <v>0</v>
      </c>
      <c r="I529" s="30">
        <v>0</v>
      </c>
      <c r="J529" s="30">
        <v>0</v>
      </c>
      <c r="K529" s="30">
        <v>0</v>
      </c>
      <c r="L529" s="30">
        <v>0</v>
      </c>
      <c r="M529" s="30">
        <v>0</v>
      </c>
      <c r="N529" s="30">
        <v>0</v>
      </c>
      <c r="O529" s="30">
        <v>0</v>
      </c>
      <c r="P529" s="30">
        <v>0</v>
      </c>
      <c r="Q529" s="30">
        <v>0</v>
      </c>
      <c r="R529" s="30">
        <v>0</v>
      </c>
      <c r="S529" s="30">
        <v>0</v>
      </c>
      <c r="T529" s="30">
        <v>0</v>
      </c>
      <c r="U529" s="30">
        <v>0</v>
      </c>
      <c r="V529" s="30">
        <v>0</v>
      </c>
      <c r="W529" s="30">
        <v>0</v>
      </c>
      <c r="X529" s="30">
        <v>0</v>
      </c>
      <c r="Y529" s="30">
        <v>0</v>
      </c>
      <c r="Z529" s="30">
        <v>0</v>
      </c>
      <c r="AA529" s="30">
        <v>0</v>
      </c>
      <c r="AB529" s="30">
        <v>0</v>
      </c>
      <c r="AC529" s="30">
        <v>0</v>
      </c>
      <c r="AD529" s="30">
        <v>0</v>
      </c>
      <c r="AE529" s="30">
        <v>0</v>
      </c>
      <c r="AF529" s="30">
        <v>0</v>
      </c>
      <c r="AG529" s="30">
        <v>0</v>
      </c>
      <c r="AH529" s="30">
        <v>0</v>
      </c>
      <c r="AI529" s="30">
        <v>0</v>
      </c>
      <c r="AJ529" s="30">
        <v>0</v>
      </c>
      <c r="AK529" s="30">
        <v>0</v>
      </c>
      <c r="AL529" s="30">
        <v>0</v>
      </c>
      <c r="AM529" s="55">
        <f t="shared" si="66"/>
        <v>0</v>
      </c>
      <c r="AN529" s="55">
        <f t="shared" si="67"/>
        <v>0</v>
      </c>
      <c r="AO529" s="72"/>
      <c r="AP529" s="74" t="str">
        <f t="shared" si="68"/>
        <v/>
      </c>
      <c r="AQ529" s="74" t="str">
        <f t="shared" si="69"/>
        <v/>
      </c>
    </row>
    <row r="530" spans="1:43" ht="13.8" thickBot="1" x14ac:dyDescent="0.3">
      <c r="A530" s="68">
        <v>24</v>
      </c>
      <c r="B530" s="67" t="s">
        <v>216</v>
      </c>
      <c r="C530" s="69" t="s">
        <v>983</v>
      </c>
      <c r="D530" s="66" t="s">
        <v>213</v>
      </c>
      <c r="E530" s="70" t="s">
        <v>13</v>
      </c>
      <c r="F530" s="54"/>
      <c r="G530" s="54"/>
      <c r="H530" s="30">
        <v>0</v>
      </c>
      <c r="I530" s="30">
        <v>0</v>
      </c>
      <c r="J530" s="30">
        <v>0</v>
      </c>
      <c r="K530" s="30">
        <v>0</v>
      </c>
      <c r="L530" s="30">
        <v>0</v>
      </c>
      <c r="M530" s="30">
        <v>0</v>
      </c>
      <c r="N530" s="30">
        <v>0</v>
      </c>
      <c r="O530" s="30">
        <v>0</v>
      </c>
      <c r="P530" s="30">
        <v>0</v>
      </c>
      <c r="Q530" s="30">
        <v>0</v>
      </c>
      <c r="R530" s="30">
        <v>0</v>
      </c>
      <c r="S530" s="30">
        <v>0</v>
      </c>
      <c r="T530" s="30">
        <v>0</v>
      </c>
      <c r="U530" s="30">
        <v>0</v>
      </c>
      <c r="V530" s="30">
        <v>0</v>
      </c>
      <c r="W530" s="30">
        <v>0</v>
      </c>
      <c r="X530" s="30">
        <v>0</v>
      </c>
      <c r="Y530" s="30">
        <v>0</v>
      </c>
      <c r="Z530" s="30">
        <v>0</v>
      </c>
      <c r="AA530" s="30">
        <v>0</v>
      </c>
      <c r="AB530" s="30">
        <v>0</v>
      </c>
      <c r="AC530" s="30">
        <v>0</v>
      </c>
      <c r="AD530" s="30">
        <v>0</v>
      </c>
      <c r="AE530" s="30">
        <v>0</v>
      </c>
      <c r="AF530" s="30">
        <v>0</v>
      </c>
      <c r="AG530" s="30">
        <v>0</v>
      </c>
      <c r="AH530" s="30">
        <v>0</v>
      </c>
      <c r="AI530" s="30">
        <v>0</v>
      </c>
      <c r="AJ530" s="30">
        <v>0</v>
      </c>
      <c r="AK530" s="30">
        <v>0</v>
      </c>
      <c r="AL530" s="30">
        <v>0</v>
      </c>
      <c r="AM530" s="55">
        <f t="shared" si="66"/>
        <v>0</v>
      </c>
      <c r="AN530" s="55">
        <f t="shared" si="67"/>
        <v>0</v>
      </c>
      <c r="AO530" s="72"/>
      <c r="AP530" s="74" t="str">
        <f t="shared" si="68"/>
        <v/>
      </c>
      <c r="AQ530" s="74" t="str">
        <f t="shared" si="69"/>
        <v/>
      </c>
    </row>
    <row r="531" spans="1:43" ht="13.8" thickBot="1" x14ac:dyDescent="0.3">
      <c r="A531" s="68">
        <v>25</v>
      </c>
      <c r="B531" s="67" t="s">
        <v>217</v>
      </c>
      <c r="C531" s="69" t="s">
        <v>983</v>
      </c>
      <c r="D531" s="66" t="s">
        <v>198</v>
      </c>
      <c r="E531" s="70" t="s">
        <v>13</v>
      </c>
      <c r="F531" s="54"/>
      <c r="G531" s="54"/>
      <c r="H531" s="30">
        <v>0</v>
      </c>
      <c r="I531" s="30">
        <v>0</v>
      </c>
      <c r="J531" s="30">
        <v>0</v>
      </c>
      <c r="K531" s="30">
        <v>0</v>
      </c>
      <c r="L531" s="30">
        <v>0</v>
      </c>
      <c r="M531" s="30">
        <v>0</v>
      </c>
      <c r="N531" s="30">
        <v>0</v>
      </c>
      <c r="O531" s="30">
        <v>0</v>
      </c>
      <c r="P531" s="30">
        <v>0</v>
      </c>
      <c r="Q531" s="30">
        <v>0</v>
      </c>
      <c r="R531" s="30">
        <v>0</v>
      </c>
      <c r="S531" s="30">
        <v>0</v>
      </c>
      <c r="T531" s="30">
        <v>0</v>
      </c>
      <c r="U531" s="30">
        <v>0</v>
      </c>
      <c r="V531" s="30">
        <v>0</v>
      </c>
      <c r="W531" s="30">
        <v>0</v>
      </c>
      <c r="X531" s="30">
        <v>0</v>
      </c>
      <c r="Y531" s="30">
        <v>0</v>
      </c>
      <c r="Z531" s="30">
        <v>0</v>
      </c>
      <c r="AA531" s="30">
        <v>0</v>
      </c>
      <c r="AB531" s="30">
        <v>0</v>
      </c>
      <c r="AC531" s="30">
        <v>0</v>
      </c>
      <c r="AD531" s="30">
        <v>0</v>
      </c>
      <c r="AE531" s="30">
        <v>0</v>
      </c>
      <c r="AF531" s="30">
        <v>0</v>
      </c>
      <c r="AG531" s="30">
        <v>0</v>
      </c>
      <c r="AH531" s="30">
        <v>0</v>
      </c>
      <c r="AI531" s="30">
        <v>0</v>
      </c>
      <c r="AJ531" s="30">
        <v>0</v>
      </c>
      <c r="AK531" s="30">
        <v>0</v>
      </c>
      <c r="AL531" s="30">
        <v>0</v>
      </c>
      <c r="AM531" s="55">
        <f t="shared" si="66"/>
        <v>0</v>
      </c>
      <c r="AN531" s="55">
        <f t="shared" si="67"/>
        <v>0</v>
      </c>
      <c r="AO531" s="72"/>
      <c r="AP531" s="74" t="str">
        <f t="shared" si="68"/>
        <v/>
      </c>
      <c r="AQ531" s="74" t="str">
        <f t="shared" si="69"/>
        <v/>
      </c>
    </row>
    <row r="532" spans="1:43" ht="13.8" thickBot="1" x14ac:dyDescent="0.3">
      <c r="A532" s="68">
        <v>26</v>
      </c>
      <c r="B532" s="67" t="s">
        <v>225</v>
      </c>
      <c r="C532" s="69" t="s">
        <v>983</v>
      </c>
      <c r="D532" s="66" t="s">
        <v>198</v>
      </c>
      <c r="E532" s="70" t="s">
        <v>13</v>
      </c>
      <c r="F532" s="54"/>
      <c r="G532" s="54"/>
      <c r="H532" s="30">
        <v>0</v>
      </c>
      <c r="I532" s="30">
        <v>0</v>
      </c>
      <c r="J532" s="30">
        <v>0</v>
      </c>
      <c r="K532" s="30">
        <v>0</v>
      </c>
      <c r="L532" s="30">
        <v>0</v>
      </c>
      <c r="M532" s="30">
        <v>0</v>
      </c>
      <c r="N532" s="30">
        <v>0</v>
      </c>
      <c r="O532" s="30">
        <v>0</v>
      </c>
      <c r="P532" s="30">
        <v>0</v>
      </c>
      <c r="Q532" s="30">
        <v>0</v>
      </c>
      <c r="R532" s="30">
        <v>0</v>
      </c>
      <c r="S532" s="30">
        <v>0</v>
      </c>
      <c r="T532" s="30">
        <v>0</v>
      </c>
      <c r="U532" s="30">
        <v>0</v>
      </c>
      <c r="V532" s="30">
        <v>0</v>
      </c>
      <c r="W532" s="30">
        <v>0</v>
      </c>
      <c r="X532" s="30">
        <v>0</v>
      </c>
      <c r="Y532" s="30">
        <v>0</v>
      </c>
      <c r="Z532" s="30">
        <v>0</v>
      </c>
      <c r="AA532" s="30">
        <v>0</v>
      </c>
      <c r="AB532" s="30">
        <v>0</v>
      </c>
      <c r="AC532" s="30">
        <v>0</v>
      </c>
      <c r="AD532" s="30">
        <v>0</v>
      </c>
      <c r="AE532" s="30">
        <v>0</v>
      </c>
      <c r="AF532" s="30">
        <v>0</v>
      </c>
      <c r="AG532" s="30">
        <v>0</v>
      </c>
      <c r="AH532" s="30">
        <v>0</v>
      </c>
      <c r="AI532" s="30">
        <v>0</v>
      </c>
      <c r="AJ532" s="30">
        <v>0</v>
      </c>
      <c r="AK532" s="30">
        <v>0</v>
      </c>
      <c r="AL532" s="30">
        <v>0</v>
      </c>
      <c r="AM532" s="55">
        <f t="shared" si="66"/>
        <v>0</v>
      </c>
      <c r="AN532" s="55">
        <f t="shared" si="67"/>
        <v>0</v>
      </c>
      <c r="AO532" s="72"/>
      <c r="AP532" s="74" t="str">
        <f t="shared" si="68"/>
        <v/>
      </c>
      <c r="AQ532" s="74" t="str">
        <f t="shared" si="69"/>
        <v/>
      </c>
    </row>
    <row r="533" spans="1:43" ht="13.8" thickBot="1" x14ac:dyDescent="0.3">
      <c r="A533" s="68">
        <v>27</v>
      </c>
      <c r="B533" s="67" t="s">
        <v>222</v>
      </c>
      <c r="C533" s="69" t="s">
        <v>984</v>
      </c>
      <c r="D533" s="66" t="s">
        <v>976</v>
      </c>
      <c r="E533" s="70" t="s">
        <v>13</v>
      </c>
      <c r="F533" s="54"/>
      <c r="G533" s="54"/>
      <c r="H533" s="30">
        <v>0</v>
      </c>
      <c r="I533" s="30">
        <v>0</v>
      </c>
      <c r="J533" s="30">
        <v>0</v>
      </c>
      <c r="K533" s="30">
        <v>0</v>
      </c>
      <c r="L533" s="30">
        <v>0</v>
      </c>
      <c r="M533" s="30">
        <v>0</v>
      </c>
      <c r="N533" s="30">
        <v>0</v>
      </c>
      <c r="O533" s="30">
        <v>0</v>
      </c>
      <c r="P533" s="30">
        <v>0</v>
      </c>
      <c r="Q533" s="30">
        <v>0</v>
      </c>
      <c r="R533" s="30">
        <v>0</v>
      </c>
      <c r="S533" s="30">
        <v>0</v>
      </c>
      <c r="T533" s="30">
        <v>0</v>
      </c>
      <c r="U533" s="30">
        <v>0</v>
      </c>
      <c r="V533" s="30">
        <v>0</v>
      </c>
      <c r="W533" s="30">
        <v>0</v>
      </c>
      <c r="X533" s="30">
        <v>0</v>
      </c>
      <c r="Y533" s="30">
        <v>0</v>
      </c>
      <c r="Z533" s="30">
        <v>0</v>
      </c>
      <c r="AA533" s="30">
        <v>0</v>
      </c>
      <c r="AB533" s="30">
        <v>0</v>
      </c>
      <c r="AC533" s="30">
        <v>0</v>
      </c>
      <c r="AD533" s="30">
        <v>0</v>
      </c>
      <c r="AE533" s="30">
        <v>0</v>
      </c>
      <c r="AF533" s="30">
        <v>0</v>
      </c>
      <c r="AG533" s="30">
        <v>0</v>
      </c>
      <c r="AH533" s="30">
        <v>0</v>
      </c>
      <c r="AI533" s="30">
        <v>0</v>
      </c>
      <c r="AJ533" s="30">
        <v>0</v>
      </c>
      <c r="AK533" s="30">
        <v>0</v>
      </c>
      <c r="AL533" s="30">
        <v>0</v>
      </c>
      <c r="AM533" s="55">
        <f t="shared" si="66"/>
        <v>0</v>
      </c>
      <c r="AN533" s="55">
        <f t="shared" si="67"/>
        <v>0</v>
      </c>
      <c r="AO533" s="72"/>
      <c r="AP533" s="74" t="str">
        <f t="shared" si="68"/>
        <v/>
      </c>
      <c r="AQ533" s="74" t="str">
        <f t="shared" si="69"/>
        <v/>
      </c>
    </row>
    <row r="534" spans="1:43" ht="13.8" thickBot="1" x14ac:dyDescent="0.3">
      <c r="A534" s="68">
        <v>28</v>
      </c>
      <c r="B534" s="67" t="s">
        <v>202</v>
      </c>
      <c r="C534" s="69" t="s">
        <v>987</v>
      </c>
      <c r="D534" s="66" t="s">
        <v>976</v>
      </c>
      <c r="E534" s="70" t="s">
        <v>13</v>
      </c>
      <c r="F534" s="54"/>
      <c r="G534" s="54"/>
      <c r="H534" s="30">
        <v>0</v>
      </c>
      <c r="I534" s="30">
        <v>0</v>
      </c>
      <c r="J534" s="30">
        <v>0</v>
      </c>
      <c r="K534" s="30">
        <v>0</v>
      </c>
      <c r="L534" s="30">
        <v>0</v>
      </c>
      <c r="M534" s="30">
        <v>0</v>
      </c>
      <c r="N534" s="30">
        <v>0</v>
      </c>
      <c r="O534" s="30">
        <v>0</v>
      </c>
      <c r="P534" s="30">
        <v>0</v>
      </c>
      <c r="Q534" s="30">
        <v>0</v>
      </c>
      <c r="R534" s="30">
        <v>0</v>
      </c>
      <c r="S534" s="30">
        <v>0</v>
      </c>
      <c r="T534" s="30">
        <v>0</v>
      </c>
      <c r="U534" s="30">
        <v>0</v>
      </c>
      <c r="V534" s="30">
        <v>0</v>
      </c>
      <c r="W534" s="30">
        <v>0</v>
      </c>
      <c r="X534" s="30">
        <v>0</v>
      </c>
      <c r="Y534" s="30">
        <v>0</v>
      </c>
      <c r="Z534" s="30">
        <v>0</v>
      </c>
      <c r="AA534" s="30">
        <v>0</v>
      </c>
      <c r="AB534" s="30">
        <v>0</v>
      </c>
      <c r="AC534" s="30">
        <v>0</v>
      </c>
      <c r="AD534" s="30">
        <v>0</v>
      </c>
      <c r="AE534" s="30">
        <v>0</v>
      </c>
      <c r="AF534" s="30">
        <v>0</v>
      </c>
      <c r="AG534" s="30">
        <v>0</v>
      </c>
      <c r="AH534" s="30">
        <v>0</v>
      </c>
      <c r="AI534" s="30">
        <v>0</v>
      </c>
      <c r="AJ534" s="30">
        <v>0</v>
      </c>
      <c r="AK534" s="30">
        <v>0</v>
      </c>
      <c r="AL534" s="30">
        <v>0</v>
      </c>
      <c r="AM534" s="55">
        <f t="shared" si="66"/>
        <v>0</v>
      </c>
      <c r="AN534" s="55">
        <f t="shared" si="67"/>
        <v>0</v>
      </c>
      <c r="AO534" s="72"/>
      <c r="AP534" s="74" t="str">
        <f t="shared" si="68"/>
        <v/>
      </c>
      <c r="AQ534" s="74" t="str">
        <f t="shared" si="69"/>
        <v/>
      </c>
    </row>
    <row r="535" spans="1:43" ht="13.8" thickBot="1" x14ac:dyDescent="0.3">
      <c r="A535" s="68">
        <v>29</v>
      </c>
      <c r="B535" s="67" t="s">
        <v>214</v>
      </c>
      <c r="C535" s="69" t="s">
        <v>987</v>
      </c>
      <c r="D535" s="66" t="s">
        <v>976</v>
      </c>
      <c r="E535" s="70" t="s">
        <v>13</v>
      </c>
      <c r="F535" s="54"/>
      <c r="G535" s="54"/>
      <c r="H535" s="30">
        <v>0</v>
      </c>
      <c r="I535" s="30">
        <v>0</v>
      </c>
      <c r="J535" s="30">
        <v>0</v>
      </c>
      <c r="K535" s="30">
        <v>0</v>
      </c>
      <c r="L535" s="30">
        <v>0</v>
      </c>
      <c r="M535" s="30">
        <v>0</v>
      </c>
      <c r="N535" s="30">
        <v>0</v>
      </c>
      <c r="O535" s="30">
        <v>0</v>
      </c>
      <c r="P535" s="30">
        <v>0</v>
      </c>
      <c r="Q535" s="30">
        <v>0</v>
      </c>
      <c r="R535" s="30">
        <v>0</v>
      </c>
      <c r="S535" s="30">
        <v>0</v>
      </c>
      <c r="T535" s="30">
        <v>0</v>
      </c>
      <c r="U535" s="30">
        <v>0</v>
      </c>
      <c r="V535" s="30">
        <v>0</v>
      </c>
      <c r="W535" s="30">
        <v>0</v>
      </c>
      <c r="X535" s="30">
        <v>0</v>
      </c>
      <c r="Y535" s="30">
        <v>0</v>
      </c>
      <c r="Z535" s="30">
        <v>0</v>
      </c>
      <c r="AA535" s="30">
        <v>0</v>
      </c>
      <c r="AB535" s="30">
        <v>0</v>
      </c>
      <c r="AC535" s="30">
        <v>0</v>
      </c>
      <c r="AD535" s="30">
        <v>0</v>
      </c>
      <c r="AE535" s="30">
        <v>0</v>
      </c>
      <c r="AF535" s="30">
        <v>0</v>
      </c>
      <c r="AG535" s="30">
        <v>0</v>
      </c>
      <c r="AH535" s="30">
        <v>0</v>
      </c>
      <c r="AI535" s="30">
        <v>0</v>
      </c>
      <c r="AJ535" s="30">
        <v>0</v>
      </c>
      <c r="AK535" s="30">
        <v>0</v>
      </c>
      <c r="AL535" s="30">
        <v>0</v>
      </c>
      <c r="AM535" s="55">
        <f t="shared" si="66"/>
        <v>0</v>
      </c>
      <c r="AN535" s="55">
        <f t="shared" si="67"/>
        <v>0</v>
      </c>
      <c r="AO535" s="72"/>
      <c r="AP535" s="74" t="str">
        <f t="shared" si="68"/>
        <v/>
      </c>
      <c r="AQ535" s="74" t="str">
        <f t="shared" si="69"/>
        <v/>
      </c>
    </row>
    <row r="536" spans="1:43" ht="13.8" thickBot="1" x14ac:dyDescent="0.3">
      <c r="A536" s="68">
        <v>30</v>
      </c>
      <c r="B536" s="67" t="s">
        <v>993</v>
      </c>
      <c r="C536" s="69" t="s">
        <v>988</v>
      </c>
      <c r="D536" s="66" t="s">
        <v>219</v>
      </c>
      <c r="E536" s="66" t="s">
        <v>994</v>
      </c>
      <c r="F536" s="54"/>
      <c r="G536" s="54"/>
      <c r="H536" s="30">
        <v>0</v>
      </c>
      <c r="I536" s="30">
        <v>0</v>
      </c>
      <c r="J536" s="30">
        <v>0</v>
      </c>
      <c r="K536" s="30">
        <v>0</v>
      </c>
      <c r="L536" s="30">
        <v>0</v>
      </c>
      <c r="M536" s="30">
        <v>0</v>
      </c>
      <c r="N536" s="30">
        <v>0</v>
      </c>
      <c r="O536" s="30">
        <v>0</v>
      </c>
      <c r="P536" s="30">
        <v>0</v>
      </c>
      <c r="Q536" s="30">
        <v>0</v>
      </c>
      <c r="R536" s="30">
        <v>0</v>
      </c>
      <c r="S536" s="30">
        <v>0</v>
      </c>
      <c r="T536" s="30">
        <v>0</v>
      </c>
      <c r="U536" s="30">
        <v>0</v>
      </c>
      <c r="V536" s="30">
        <v>0</v>
      </c>
      <c r="W536" s="30">
        <v>0</v>
      </c>
      <c r="X536" s="30">
        <v>0</v>
      </c>
      <c r="Y536" s="30">
        <v>0</v>
      </c>
      <c r="Z536" s="30">
        <v>0</v>
      </c>
      <c r="AA536" s="30">
        <v>0</v>
      </c>
      <c r="AB536" s="30">
        <v>0</v>
      </c>
      <c r="AC536" s="30">
        <v>0</v>
      </c>
      <c r="AD536" s="30">
        <v>0</v>
      </c>
      <c r="AE536" s="30">
        <v>0</v>
      </c>
      <c r="AF536" s="30">
        <v>0</v>
      </c>
      <c r="AG536" s="30">
        <v>0</v>
      </c>
      <c r="AH536" s="30">
        <v>0</v>
      </c>
      <c r="AI536" s="30">
        <v>0</v>
      </c>
      <c r="AJ536" s="30">
        <v>0</v>
      </c>
      <c r="AK536" s="30">
        <v>0</v>
      </c>
      <c r="AL536" s="30">
        <v>0</v>
      </c>
      <c r="AM536" s="55">
        <f t="shared" si="66"/>
        <v>0</v>
      </c>
      <c r="AN536" s="55">
        <f t="shared" si="67"/>
        <v>0</v>
      </c>
      <c r="AO536" s="72"/>
      <c r="AP536" s="74" t="str">
        <f t="shared" si="68"/>
        <v/>
      </c>
      <c r="AQ536" s="74" t="str">
        <f t="shared" si="69"/>
        <v/>
      </c>
    </row>
    <row r="537" spans="1:43" ht="13.8" thickBot="1" x14ac:dyDescent="0.3">
      <c r="A537" s="68">
        <v>31</v>
      </c>
      <c r="B537" s="67" t="s">
        <v>990</v>
      </c>
      <c r="C537" s="69" t="s">
        <v>989</v>
      </c>
      <c r="D537" s="66" t="s">
        <v>219</v>
      </c>
      <c r="E537" s="70" t="s">
        <v>13</v>
      </c>
      <c r="F537" s="54"/>
      <c r="G537" s="54"/>
      <c r="H537" s="30">
        <v>0</v>
      </c>
      <c r="I537" s="30">
        <v>0</v>
      </c>
      <c r="J537" s="30">
        <v>0</v>
      </c>
      <c r="K537" s="30">
        <v>0</v>
      </c>
      <c r="L537" s="30">
        <v>0</v>
      </c>
      <c r="M537" s="30">
        <v>0</v>
      </c>
      <c r="N537" s="30">
        <v>0</v>
      </c>
      <c r="O537" s="30">
        <v>0</v>
      </c>
      <c r="P537" s="30">
        <v>0</v>
      </c>
      <c r="Q537" s="30">
        <v>0</v>
      </c>
      <c r="R537" s="30">
        <v>0</v>
      </c>
      <c r="S537" s="30">
        <v>0</v>
      </c>
      <c r="T537" s="30">
        <v>0</v>
      </c>
      <c r="U537" s="30">
        <v>0</v>
      </c>
      <c r="V537" s="30">
        <v>0</v>
      </c>
      <c r="W537" s="30">
        <v>0</v>
      </c>
      <c r="X537" s="30">
        <v>0</v>
      </c>
      <c r="Y537" s="30">
        <v>0</v>
      </c>
      <c r="Z537" s="30">
        <v>0</v>
      </c>
      <c r="AA537" s="30">
        <v>0</v>
      </c>
      <c r="AB537" s="30">
        <v>0</v>
      </c>
      <c r="AC537" s="30">
        <v>0</v>
      </c>
      <c r="AD537" s="30">
        <v>0</v>
      </c>
      <c r="AE537" s="30">
        <v>0</v>
      </c>
      <c r="AF537" s="30">
        <v>0</v>
      </c>
      <c r="AG537" s="30">
        <v>0</v>
      </c>
      <c r="AH537" s="30">
        <v>0</v>
      </c>
      <c r="AI537" s="30">
        <v>0</v>
      </c>
      <c r="AJ537" s="30">
        <v>0</v>
      </c>
      <c r="AK537" s="30">
        <v>0</v>
      </c>
      <c r="AL537" s="30">
        <v>0</v>
      </c>
      <c r="AM537" s="55">
        <f t="shared" si="66"/>
        <v>0</v>
      </c>
      <c r="AN537" s="55">
        <f t="shared" si="67"/>
        <v>0</v>
      </c>
      <c r="AO537" s="72"/>
      <c r="AP537" s="74" t="str">
        <f t="shared" si="68"/>
        <v/>
      </c>
      <c r="AQ537" s="74" t="str">
        <f t="shared" si="69"/>
        <v/>
      </c>
    </row>
    <row r="538" spans="1:43" ht="13.8" thickBot="1" x14ac:dyDescent="0.3">
      <c r="A538" s="68">
        <v>32</v>
      </c>
      <c r="B538" s="67" t="s">
        <v>196</v>
      </c>
      <c r="C538" s="69" t="s">
        <v>991</v>
      </c>
      <c r="D538" s="66" t="s">
        <v>213</v>
      </c>
      <c r="E538" s="66" t="s">
        <v>197</v>
      </c>
      <c r="F538" s="54"/>
      <c r="G538" s="54"/>
      <c r="H538" s="30">
        <v>0</v>
      </c>
      <c r="I538" s="30">
        <v>0</v>
      </c>
      <c r="J538" s="30">
        <v>0</v>
      </c>
      <c r="K538" s="30">
        <v>0</v>
      </c>
      <c r="L538" s="30">
        <v>0</v>
      </c>
      <c r="M538" s="30">
        <v>0</v>
      </c>
      <c r="N538" s="30">
        <v>0</v>
      </c>
      <c r="O538" s="30">
        <v>0</v>
      </c>
      <c r="P538" s="30">
        <v>0</v>
      </c>
      <c r="Q538" s="30">
        <v>0</v>
      </c>
      <c r="R538" s="30">
        <v>0</v>
      </c>
      <c r="S538" s="30">
        <v>0</v>
      </c>
      <c r="T538" s="30">
        <v>0</v>
      </c>
      <c r="U538" s="30">
        <v>0</v>
      </c>
      <c r="V538" s="30">
        <v>0</v>
      </c>
      <c r="W538" s="30">
        <v>0</v>
      </c>
      <c r="X538" s="30">
        <v>0</v>
      </c>
      <c r="Y538" s="30">
        <v>0</v>
      </c>
      <c r="Z538" s="30">
        <v>0</v>
      </c>
      <c r="AA538" s="30">
        <v>0</v>
      </c>
      <c r="AB538" s="30">
        <v>0</v>
      </c>
      <c r="AC538" s="30">
        <v>0</v>
      </c>
      <c r="AD538" s="30">
        <v>0</v>
      </c>
      <c r="AE538" s="30">
        <v>0</v>
      </c>
      <c r="AF538" s="30">
        <v>0</v>
      </c>
      <c r="AG538" s="30">
        <v>0</v>
      </c>
      <c r="AH538" s="30">
        <v>0</v>
      </c>
      <c r="AI538" s="30">
        <v>0</v>
      </c>
      <c r="AJ538" s="30">
        <v>0</v>
      </c>
      <c r="AK538" s="30">
        <v>0</v>
      </c>
      <c r="AL538" s="30">
        <v>0</v>
      </c>
      <c r="AM538" s="55">
        <f t="shared" si="66"/>
        <v>0</v>
      </c>
      <c r="AN538" s="55">
        <f t="shared" si="67"/>
        <v>0</v>
      </c>
      <c r="AO538" s="72"/>
      <c r="AP538" s="74" t="str">
        <f t="shared" si="68"/>
        <v/>
      </c>
      <c r="AQ538" s="74" t="str">
        <f t="shared" si="69"/>
        <v/>
      </c>
    </row>
    <row r="539" spans="1:43" ht="13.8" thickBot="1" x14ac:dyDescent="0.3">
      <c r="A539" s="68">
        <v>33</v>
      </c>
      <c r="B539" s="67" t="s">
        <v>215</v>
      </c>
      <c r="C539" s="69" t="s">
        <v>992</v>
      </c>
      <c r="D539" s="66" t="s">
        <v>198</v>
      </c>
      <c r="E539" s="66" t="s">
        <v>206</v>
      </c>
      <c r="F539" s="54"/>
      <c r="G539" s="54"/>
      <c r="H539" s="30">
        <v>0</v>
      </c>
      <c r="I539" s="30">
        <v>0</v>
      </c>
      <c r="J539" s="30">
        <v>0</v>
      </c>
      <c r="K539" s="30">
        <v>0</v>
      </c>
      <c r="L539" s="30">
        <v>0</v>
      </c>
      <c r="M539" s="30">
        <v>0</v>
      </c>
      <c r="N539" s="30">
        <v>0</v>
      </c>
      <c r="O539" s="30">
        <v>0</v>
      </c>
      <c r="P539" s="30">
        <v>0</v>
      </c>
      <c r="Q539" s="30">
        <v>0</v>
      </c>
      <c r="R539" s="30">
        <v>0</v>
      </c>
      <c r="S539" s="30">
        <v>0</v>
      </c>
      <c r="T539" s="30">
        <v>0</v>
      </c>
      <c r="U539" s="30">
        <v>0</v>
      </c>
      <c r="V539" s="30">
        <v>0</v>
      </c>
      <c r="W539" s="30">
        <v>0</v>
      </c>
      <c r="X539" s="30">
        <v>0</v>
      </c>
      <c r="Y539" s="30">
        <v>0</v>
      </c>
      <c r="Z539" s="30">
        <v>0</v>
      </c>
      <c r="AA539" s="30">
        <v>0</v>
      </c>
      <c r="AB539" s="30">
        <v>0</v>
      </c>
      <c r="AC539" s="30">
        <v>0</v>
      </c>
      <c r="AD539" s="30">
        <v>0</v>
      </c>
      <c r="AE539" s="30">
        <v>0</v>
      </c>
      <c r="AF539" s="30">
        <v>0</v>
      </c>
      <c r="AG539" s="30">
        <v>0</v>
      </c>
      <c r="AH539" s="30">
        <v>0</v>
      </c>
      <c r="AI539" s="30">
        <v>0</v>
      </c>
      <c r="AJ539" s="30">
        <v>0</v>
      </c>
      <c r="AK539" s="30">
        <v>0</v>
      </c>
      <c r="AL539" s="30">
        <v>0</v>
      </c>
      <c r="AM539" s="55">
        <f t="shared" si="66"/>
        <v>0</v>
      </c>
      <c r="AN539" s="55">
        <f t="shared" si="67"/>
        <v>0</v>
      </c>
      <c r="AO539" s="72"/>
      <c r="AP539" s="74" t="str">
        <f t="shared" si="68"/>
        <v/>
      </c>
      <c r="AQ539" s="74" t="str">
        <f t="shared" si="69"/>
        <v/>
      </c>
    </row>
    <row r="540" spans="1:43" ht="13.8" thickBot="1" x14ac:dyDescent="0.3">
      <c r="A540" s="68">
        <v>34</v>
      </c>
      <c r="B540" s="67" t="s">
        <v>226</v>
      </c>
      <c r="C540" s="69" t="s">
        <v>992</v>
      </c>
      <c r="D540" s="66" t="s">
        <v>230</v>
      </c>
      <c r="E540" s="66" t="s">
        <v>227</v>
      </c>
      <c r="F540" s="54"/>
      <c r="G540" s="54"/>
      <c r="H540" s="30">
        <v>0</v>
      </c>
      <c r="I540" s="30">
        <v>0</v>
      </c>
      <c r="J540" s="30">
        <v>0</v>
      </c>
      <c r="K540" s="30">
        <v>0</v>
      </c>
      <c r="L540" s="30">
        <v>0</v>
      </c>
      <c r="M540" s="30">
        <v>0</v>
      </c>
      <c r="N540" s="30">
        <v>0</v>
      </c>
      <c r="O540" s="30">
        <v>0</v>
      </c>
      <c r="P540" s="30">
        <v>0</v>
      </c>
      <c r="Q540" s="30">
        <v>0</v>
      </c>
      <c r="R540" s="30">
        <v>0</v>
      </c>
      <c r="S540" s="30">
        <v>0</v>
      </c>
      <c r="T540" s="30">
        <v>0</v>
      </c>
      <c r="U540" s="30">
        <v>0</v>
      </c>
      <c r="V540" s="30">
        <v>0</v>
      </c>
      <c r="W540" s="30">
        <v>0</v>
      </c>
      <c r="X540" s="30">
        <v>0</v>
      </c>
      <c r="Y540" s="30">
        <v>0</v>
      </c>
      <c r="Z540" s="30">
        <v>0</v>
      </c>
      <c r="AA540" s="30">
        <v>0</v>
      </c>
      <c r="AB540" s="30">
        <v>0</v>
      </c>
      <c r="AC540" s="30">
        <v>0</v>
      </c>
      <c r="AD540" s="30">
        <v>0</v>
      </c>
      <c r="AE540" s="30">
        <v>0</v>
      </c>
      <c r="AF540" s="30">
        <v>0</v>
      </c>
      <c r="AG540" s="30">
        <v>0</v>
      </c>
      <c r="AH540" s="30">
        <v>0</v>
      </c>
      <c r="AI540" s="30">
        <v>0</v>
      </c>
      <c r="AJ540" s="30">
        <v>0</v>
      </c>
      <c r="AK540" s="30">
        <v>0</v>
      </c>
      <c r="AL540" s="30">
        <v>0</v>
      </c>
      <c r="AM540" s="55">
        <f t="shared" si="66"/>
        <v>0</v>
      </c>
      <c r="AN540" s="55">
        <f t="shared" si="67"/>
        <v>0</v>
      </c>
      <c r="AO540" s="72"/>
      <c r="AP540" s="74" t="str">
        <f t="shared" si="68"/>
        <v/>
      </c>
      <c r="AQ540" s="74" t="str">
        <f t="shared" si="69"/>
        <v/>
      </c>
    </row>
    <row r="541" spans="1:43" ht="13.8" thickBot="1" x14ac:dyDescent="0.3">
      <c r="A541" s="68">
        <v>35</v>
      </c>
      <c r="B541" s="67"/>
      <c r="C541" s="69"/>
      <c r="D541" s="66"/>
      <c r="E541" s="66"/>
      <c r="F541" s="54"/>
      <c r="G541" s="54"/>
      <c r="H541" s="30">
        <v>0</v>
      </c>
      <c r="I541" s="30">
        <v>0</v>
      </c>
      <c r="J541" s="30">
        <v>0</v>
      </c>
      <c r="K541" s="30">
        <v>0</v>
      </c>
      <c r="L541" s="30">
        <v>0</v>
      </c>
      <c r="M541" s="30">
        <v>0</v>
      </c>
      <c r="N541" s="30">
        <v>0</v>
      </c>
      <c r="O541" s="30">
        <v>0</v>
      </c>
      <c r="P541" s="30">
        <v>0</v>
      </c>
      <c r="Q541" s="30">
        <v>0</v>
      </c>
      <c r="R541" s="30">
        <v>0</v>
      </c>
      <c r="S541" s="30">
        <v>0</v>
      </c>
      <c r="T541" s="30">
        <v>0</v>
      </c>
      <c r="U541" s="30">
        <v>0</v>
      </c>
      <c r="V541" s="30">
        <v>0</v>
      </c>
      <c r="W541" s="30">
        <v>0</v>
      </c>
      <c r="X541" s="30">
        <v>0</v>
      </c>
      <c r="Y541" s="30">
        <v>0</v>
      </c>
      <c r="Z541" s="30">
        <v>0</v>
      </c>
      <c r="AA541" s="30">
        <v>0</v>
      </c>
      <c r="AB541" s="30">
        <v>0</v>
      </c>
      <c r="AC541" s="30">
        <v>0</v>
      </c>
      <c r="AD541" s="30">
        <v>0</v>
      </c>
      <c r="AE541" s="30">
        <v>0</v>
      </c>
      <c r="AF541" s="30">
        <v>0</v>
      </c>
      <c r="AG541" s="30">
        <v>0</v>
      </c>
      <c r="AH541" s="30">
        <v>0</v>
      </c>
      <c r="AI541" s="30">
        <v>0</v>
      </c>
      <c r="AJ541" s="30">
        <v>0</v>
      </c>
      <c r="AK541" s="30">
        <v>0</v>
      </c>
      <c r="AL541" s="30">
        <v>0</v>
      </c>
      <c r="AM541" s="55">
        <f t="shared" si="66"/>
        <v>0</v>
      </c>
      <c r="AN541" s="55">
        <f t="shared" si="67"/>
        <v>0</v>
      </c>
      <c r="AO541" s="72"/>
      <c r="AP541" s="74" t="str">
        <f t="shared" si="68"/>
        <v/>
      </c>
      <c r="AQ541" s="74" t="str">
        <f t="shared" si="69"/>
        <v/>
      </c>
    </row>
    <row r="542" spans="1:43" ht="13.8" thickBot="1" x14ac:dyDescent="0.3">
      <c r="A542" s="68">
        <v>36</v>
      </c>
      <c r="B542" s="67"/>
      <c r="C542" s="69"/>
      <c r="D542" s="66"/>
      <c r="E542" s="66"/>
      <c r="F542" s="54"/>
      <c r="G542" s="54"/>
      <c r="H542" s="30">
        <v>0</v>
      </c>
      <c r="I542" s="30">
        <v>0</v>
      </c>
      <c r="J542" s="30">
        <v>0</v>
      </c>
      <c r="K542" s="30">
        <v>0</v>
      </c>
      <c r="L542" s="30">
        <v>0</v>
      </c>
      <c r="M542" s="30">
        <v>0</v>
      </c>
      <c r="N542" s="30">
        <v>0</v>
      </c>
      <c r="O542" s="30">
        <v>0</v>
      </c>
      <c r="P542" s="30">
        <v>0</v>
      </c>
      <c r="Q542" s="30">
        <v>0</v>
      </c>
      <c r="R542" s="30">
        <v>0</v>
      </c>
      <c r="S542" s="30">
        <v>0</v>
      </c>
      <c r="T542" s="30">
        <v>0</v>
      </c>
      <c r="U542" s="30">
        <v>0</v>
      </c>
      <c r="V542" s="30">
        <v>0</v>
      </c>
      <c r="W542" s="30">
        <v>0</v>
      </c>
      <c r="X542" s="30">
        <v>0</v>
      </c>
      <c r="Y542" s="30">
        <v>0</v>
      </c>
      <c r="Z542" s="30">
        <v>0</v>
      </c>
      <c r="AA542" s="30">
        <v>0</v>
      </c>
      <c r="AB542" s="30">
        <v>0</v>
      </c>
      <c r="AC542" s="30">
        <v>0</v>
      </c>
      <c r="AD542" s="30">
        <v>0</v>
      </c>
      <c r="AE542" s="30">
        <v>0</v>
      </c>
      <c r="AF542" s="30">
        <v>0</v>
      </c>
      <c r="AG542" s="30">
        <v>0</v>
      </c>
      <c r="AH542" s="30">
        <v>0</v>
      </c>
      <c r="AI542" s="30">
        <v>0</v>
      </c>
      <c r="AJ542" s="30">
        <v>0</v>
      </c>
      <c r="AK542" s="30">
        <v>0</v>
      </c>
      <c r="AL542" s="30">
        <v>0</v>
      </c>
      <c r="AM542" s="55">
        <f t="shared" si="66"/>
        <v>0</v>
      </c>
      <c r="AN542" s="55">
        <f t="shared" si="67"/>
        <v>0</v>
      </c>
      <c r="AO542" s="72"/>
      <c r="AP542" s="74" t="str">
        <f t="shared" si="68"/>
        <v/>
      </c>
      <c r="AQ542" s="74" t="str">
        <f t="shared" si="69"/>
        <v/>
      </c>
    </row>
    <row r="543" spans="1:43" ht="13.8" thickBot="1" x14ac:dyDescent="0.3">
      <c r="A543" s="68">
        <v>37</v>
      </c>
      <c r="B543" s="67"/>
      <c r="C543" s="69"/>
      <c r="D543" s="66"/>
      <c r="E543" s="66"/>
      <c r="F543" s="54"/>
      <c r="G543" s="54"/>
      <c r="H543" s="30">
        <v>0</v>
      </c>
      <c r="I543" s="30">
        <v>0</v>
      </c>
      <c r="J543" s="30">
        <v>0</v>
      </c>
      <c r="K543" s="30">
        <v>0</v>
      </c>
      <c r="L543" s="30">
        <v>0</v>
      </c>
      <c r="M543" s="30">
        <v>0</v>
      </c>
      <c r="N543" s="30">
        <v>0</v>
      </c>
      <c r="O543" s="30">
        <v>0</v>
      </c>
      <c r="P543" s="30">
        <v>0</v>
      </c>
      <c r="Q543" s="30">
        <v>0</v>
      </c>
      <c r="R543" s="30">
        <v>0</v>
      </c>
      <c r="S543" s="30">
        <v>0</v>
      </c>
      <c r="T543" s="30">
        <v>0</v>
      </c>
      <c r="U543" s="30">
        <v>0</v>
      </c>
      <c r="V543" s="30">
        <v>0</v>
      </c>
      <c r="W543" s="30">
        <v>0</v>
      </c>
      <c r="X543" s="30">
        <v>0</v>
      </c>
      <c r="Y543" s="30">
        <v>0</v>
      </c>
      <c r="Z543" s="30">
        <v>0</v>
      </c>
      <c r="AA543" s="30">
        <v>0</v>
      </c>
      <c r="AB543" s="30">
        <v>0</v>
      </c>
      <c r="AC543" s="30">
        <v>0</v>
      </c>
      <c r="AD543" s="30">
        <v>0</v>
      </c>
      <c r="AE543" s="30">
        <v>0</v>
      </c>
      <c r="AF543" s="30">
        <v>0</v>
      </c>
      <c r="AG543" s="30">
        <v>0</v>
      </c>
      <c r="AH543" s="30">
        <v>0</v>
      </c>
      <c r="AI543" s="30">
        <v>0</v>
      </c>
      <c r="AJ543" s="30">
        <v>0</v>
      </c>
      <c r="AK543" s="30">
        <v>0</v>
      </c>
      <c r="AL543" s="30">
        <v>0</v>
      </c>
      <c r="AM543" s="55">
        <f t="shared" si="66"/>
        <v>0</v>
      </c>
      <c r="AN543" s="55">
        <f t="shared" si="67"/>
        <v>0</v>
      </c>
      <c r="AO543" s="72"/>
      <c r="AP543" s="74" t="str">
        <f t="shared" si="68"/>
        <v/>
      </c>
      <c r="AQ543" s="74" t="str">
        <f t="shared" si="69"/>
        <v/>
      </c>
    </row>
    <row r="544" spans="1:43" ht="13.8" thickBot="1" x14ac:dyDescent="0.3">
      <c r="A544" s="68">
        <v>38</v>
      </c>
      <c r="B544" s="67"/>
      <c r="C544" s="69"/>
      <c r="D544" s="66"/>
      <c r="E544" s="66"/>
      <c r="F544" s="54"/>
      <c r="G544" s="54"/>
      <c r="H544" s="30">
        <v>0</v>
      </c>
      <c r="I544" s="30">
        <v>0</v>
      </c>
      <c r="J544" s="30">
        <v>0</v>
      </c>
      <c r="K544" s="30">
        <v>0</v>
      </c>
      <c r="L544" s="30">
        <v>0</v>
      </c>
      <c r="M544" s="30">
        <v>0</v>
      </c>
      <c r="N544" s="30">
        <v>0</v>
      </c>
      <c r="O544" s="30">
        <v>0</v>
      </c>
      <c r="P544" s="30">
        <v>0</v>
      </c>
      <c r="Q544" s="30">
        <v>0</v>
      </c>
      <c r="R544" s="30">
        <v>0</v>
      </c>
      <c r="S544" s="30">
        <v>0</v>
      </c>
      <c r="T544" s="30">
        <v>0</v>
      </c>
      <c r="U544" s="30">
        <v>0</v>
      </c>
      <c r="V544" s="30">
        <v>0</v>
      </c>
      <c r="W544" s="30">
        <v>0</v>
      </c>
      <c r="X544" s="30">
        <v>0</v>
      </c>
      <c r="Y544" s="30">
        <v>0</v>
      </c>
      <c r="Z544" s="30">
        <v>0</v>
      </c>
      <c r="AA544" s="30">
        <v>0</v>
      </c>
      <c r="AB544" s="30">
        <v>0</v>
      </c>
      <c r="AC544" s="30">
        <v>0</v>
      </c>
      <c r="AD544" s="30">
        <v>0</v>
      </c>
      <c r="AE544" s="30">
        <v>0</v>
      </c>
      <c r="AF544" s="30">
        <v>0</v>
      </c>
      <c r="AG544" s="30">
        <v>0</v>
      </c>
      <c r="AH544" s="30">
        <v>0</v>
      </c>
      <c r="AI544" s="30">
        <v>0</v>
      </c>
      <c r="AJ544" s="30">
        <v>0</v>
      </c>
      <c r="AK544" s="30">
        <v>0</v>
      </c>
      <c r="AL544" s="30">
        <v>0</v>
      </c>
      <c r="AM544" s="55">
        <f t="shared" si="66"/>
        <v>0</v>
      </c>
      <c r="AN544" s="55">
        <f t="shared" si="67"/>
        <v>0</v>
      </c>
      <c r="AO544" s="72"/>
      <c r="AP544" s="74" t="str">
        <f t="shared" si="68"/>
        <v/>
      </c>
      <c r="AQ544" s="74" t="str">
        <f t="shared" si="69"/>
        <v/>
      </c>
    </row>
    <row r="545" spans="1:43" ht="13.8" thickBot="1" x14ac:dyDescent="0.3">
      <c r="A545" s="68">
        <v>39</v>
      </c>
      <c r="B545" s="54"/>
      <c r="C545" s="54"/>
      <c r="D545" s="66"/>
      <c r="E545" s="66"/>
      <c r="F545" s="54"/>
      <c r="G545" s="54"/>
      <c r="H545" s="30">
        <v>0</v>
      </c>
      <c r="I545" s="30">
        <v>0</v>
      </c>
      <c r="J545" s="30">
        <v>0</v>
      </c>
      <c r="K545" s="30">
        <v>0</v>
      </c>
      <c r="L545" s="30">
        <v>0</v>
      </c>
      <c r="M545" s="30">
        <v>0</v>
      </c>
      <c r="N545" s="30">
        <v>0</v>
      </c>
      <c r="O545" s="30">
        <v>0</v>
      </c>
      <c r="P545" s="30">
        <v>0</v>
      </c>
      <c r="Q545" s="30">
        <v>0</v>
      </c>
      <c r="R545" s="30">
        <v>0</v>
      </c>
      <c r="S545" s="30">
        <v>0</v>
      </c>
      <c r="T545" s="30">
        <v>0</v>
      </c>
      <c r="U545" s="30">
        <v>0</v>
      </c>
      <c r="V545" s="30">
        <v>0</v>
      </c>
      <c r="W545" s="30">
        <v>0</v>
      </c>
      <c r="X545" s="30">
        <v>0</v>
      </c>
      <c r="Y545" s="30">
        <v>0</v>
      </c>
      <c r="Z545" s="30">
        <v>0</v>
      </c>
      <c r="AA545" s="30">
        <v>0</v>
      </c>
      <c r="AB545" s="30">
        <v>0</v>
      </c>
      <c r="AC545" s="30">
        <v>0</v>
      </c>
      <c r="AD545" s="30">
        <v>0</v>
      </c>
      <c r="AE545" s="30">
        <v>0</v>
      </c>
      <c r="AF545" s="30">
        <v>0</v>
      </c>
      <c r="AG545" s="30">
        <v>0</v>
      </c>
      <c r="AH545" s="30">
        <v>0</v>
      </c>
      <c r="AI545" s="30">
        <v>0</v>
      </c>
      <c r="AJ545" s="30">
        <v>0</v>
      </c>
      <c r="AK545" s="30">
        <v>0</v>
      </c>
      <c r="AL545" s="30">
        <v>0</v>
      </c>
      <c r="AM545" s="55">
        <f t="shared" si="66"/>
        <v>0</v>
      </c>
      <c r="AN545" s="55">
        <f t="shared" si="67"/>
        <v>0</v>
      </c>
      <c r="AO545" s="72"/>
      <c r="AP545" s="74" t="str">
        <f t="shared" si="68"/>
        <v/>
      </c>
      <c r="AQ545" s="74" t="str">
        <f t="shared" si="69"/>
        <v/>
      </c>
    </row>
    <row r="546" spans="1:43" ht="18.600000000000001" customHeight="1" thickBot="1" x14ac:dyDescent="0.3">
      <c r="A546" s="92"/>
      <c r="B546" s="93"/>
      <c r="C546" s="42"/>
      <c r="D546" s="42"/>
      <c r="E546" s="42"/>
      <c r="F546" s="42"/>
      <c r="G546" s="42"/>
      <c r="H546" s="55">
        <f t="shared" ref="H546:AN546" si="70">SUM(H506:H545)</f>
        <v>0</v>
      </c>
      <c r="I546" s="55">
        <f t="shared" si="70"/>
        <v>0</v>
      </c>
      <c r="J546" s="55">
        <f t="shared" si="70"/>
        <v>0</v>
      </c>
      <c r="K546" s="55">
        <f t="shared" si="70"/>
        <v>0</v>
      </c>
      <c r="L546" s="55">
        <f t="shared" si="70"/>
        <v>0</v>
      </c>
      <c r="M546" s="55">
        <f t="shared" si="70"/>
        <v>0</v>
      </c>
      <c r="N546" s="55">
        <f t="shared" si="70"/>
        <v>0</v>
      </c>
      <c r="O546" s="55">
        <f t="shared" si="70"/>
        <v>0</v>
      </c>
      <c r="P546" s="55">
        <f t="shared" si="70"/>
        <v>0</v>
      </c>
      <c r="Q546" s="55">
        <f t="shared" si="70"/>
        <v>0</v>
      </c>
      <c r="R546" s="55">
        <f t="shared" si="70"/>
        <v>0</v>
      </c>
      <c r="S546" s="55">
        <f t="shared" si="70"/>
        <v>0</v>
      </c>
      <c r="T546" s="55">
        <f t="shared" si="70"/>
        <v>0</v>
      </c>
      <c r="U546" s="55">
        <f t="shared" si="70"/>
        <v>0</v>
      </c>
      <c r="V546" s="55">
        <f t="shared" si="70"/>
        <v>0</v>
      </c>
      <c r="W546" s="55">
        <f t="shared" si="70"/>
        <v>0</v>
      </c>
      <c r="X546" s="55">
        <f t="shared" si="70"/>
        <v>0</v>
      </c>
      <c r="Y546" s="55">
        <f t="shared" si="70"/>
        <v>0</v>
      </c>
      <c r="Z546" s="55">
        <f t="shared" si="70"/>
        <v>0</v>
      </c>
      <c r="AA546" s="55">
        <f t="shared" si="70"/>
        <v>0</v>
      </c>
      <c r="AB546" s="55">
        <f t="shared" si="70"/>
        <v>0</v>
      </c>
      <c r="AC546" s="55">
        <f t="shared" si="70"/>
        <v>0</v>
      </c>
      <c r="AD546" s="55">
        <f t="shared" si="70"/>
        <v>0</v>
      </c>
      <c r="AE546" s="55">
        <f t="shared" si="70"/>
        <v>0</v>
      </c>
      <c r="AF546" s="55">
        <f t="shared" si="70"/>
        <v>0</v>
      </c>
      <c r="AG546" s="55">
        <f t="shared" si="70"/>
        <v>0</v>
      </c>
      <c r="AH546" s="55">
        <f t="shared" si="70"/>
        <v>0</v>
      </c>
      <c r="AI546" s="55">
        <f t="shared" si="70"/>
        <v>0</v>
      </c>
      <c r="AJ546" s="55">
        <f t="shared" si="70"/>
        <v>0</v>
      </c>
      <c r="AK546" s="55">
        <f t="shared" si="70"/>
        <v>0</v>
      </c>
      <c r="AL546" s="55">
        <f t="shared" si="70"/>
        <v>0</v>
      </c>
      <c r="AM546" s="30">
        <f t="shared" si="70"/>
        <v>0</v>
      </c>
      <c r="AN546" s="30">
        <f t="shared" si="70"/>
        <v>0</v>
      </c>
    </row>
    <row r="549" spans="1:43" ht="21" customHeight="1" x14ac:dyDescent="0.25">
      <c r="A549" s="120" t="s">
        <v>938</v>
      </c>
      <c r="B549" s="121"/>
      <c r="C549" s="121"/>
      <c r="D549" s="121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</row>
    <row r="550" spans="1:43" x14ac:dyDescent="0.25">
      <c r="A550" s="122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  <c r="AA550" s="123"/>
      <c r="AB550" s="123"/>
      <c r="AC550" s="123"/>
      <c r="AD550" s="123"/>
      <c r="AE550" s="123"/>
      <c r="AF550" s="123"/>
      <c r="AG550" s="123"/>
      <c r="AH550" s="124"/>
    </row>
    <row r="551" spans="1:43" x14ac:dyDescent="0.25">
      <c r="A551" s="125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6"/>
      <c r="Y551" s="126"/>
      <c r="Z551" s="126"/>
      <c r="AA551" s="126"/>
      <c r="AB551" s="126"/>
      <c r="AC551" s="126"/>
      <c r="AD551" s="126"/>
      <c r="AE551" s="126"/>
      <c r="AF551" s="126"/>
      <c r="AG551" s="126"/>
      <c r="AH551" s="127"/>
    </row>
    <row r="552" spans="1:43" x14ac:dyDescent="0.25">
      <c r="A552" s="128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  <c r="AA552" s="129"/>
      <c r="AB552" s="129"/>
      <c r="AC552" s="129"/>
      <c r="AD552" s="129"/>
      <c r="AE552" s="129"/>
      <c r="AF552" s="129"/>
      <c r="AG552" s="129"/>
      <c r="AH552" s="130"/>
    </row>
    <row r="553" spans="1:43" ht="15" x14ac:dyDescent="0.25">
      <c r="A553" s="48"/>
      <c r="B553" s="48"/>
      <c r="C553" s="48"/>
      <c r="D553" s="48"/>
      <c r="E553" s="48"/>
      <c r="F553" s="48"/>
      <c r="AA553" s="22"/>
      <c r="AF553" s="9"/>
    </row>
    <row r="554" spans="1:43" ht="13.8" x14ac:dyDescent="0.25">
      <c r="A554" s="117"/>
      <c r="B554" s="117"/>
      <c r="C554" s="117"/>
      <c r="D554" s="117"/>
      <c r="E554" s="118"/>
      <c r="F554" s="118"/>
      <c r="AA554" s="22"/>
      <c r="AF554" s="9"/>
    </row>
    <row r="555" spans="1:43" x14ac:dyDescent="0.25">
      <c r="A555" s="119" t="s">
        <v>939</v>
      </c>
      <c r="B555" s="119"/>
      <c r="C555" s="119"/>
      <c r="D555" s="119"/>
      <c r="E555" s="119" t="s">
        <v>940</v>
      </c>
      <c r="F555" s="119"/>
      <c r="AA555" s="22"/>
      <c r="AF555" s="9"/>
    </row>
    <row r="556" spans="1:43" x14ac:dyDescent="0.25">
      <c r="AA556" s="22"/>
      <c r="AF556" s="9"/>
    </row>
  </sheetData>
  <protectedRanges>
    <protectedRange sqref="BD8:BE10" name="Rango1_1"/>
  </protectedRanges>
  <sortState xmlns:xlrd2="http://schemas.microsoft.com/office/spreadsheetml/2017/richdata2" ref="B25:C29">
    <sortCondition ref="B25:B29"/>
  </sortState>
  <mergeCells count="199">
    <mergeCell ref="A546:B546"/>
    <mergeCell ref="A549:AH549"/>
    <mergeCell ref="A550:AH552"/>
    <mergeCell ref="A554:D554"/>
    <mergeCell ref="E554:F554"/>
    <mergeCell ref="A555:D555"/>
    <mergeCell ref="E555:F555"/>
    <mergeCell ref="AP503:AQ503"/>
    <mergeCell ref="A504:A505"/>
    <mergeCell ref="B504:B505"/>
    <mergeCell ref="C504:C505"/>
    <mergeCell ref="D504:E504"/>
    <mergeCell ref="F504:F505"/>
    <mergeCell ref="G504:G505"/>
    <mergeCell ref="AP504:AP505"/>
    <mergeCell ref="AQ504:AQ505"/>
    <mergeCell ref="A501:B501"/>
    <mergeCell ref="A503:B503"/>
    <mergeCell ref="H503:AL503"/>
    <mergeCell ref="AM503:AM505"/>
    <mergeCell ref="AN503:AN505"/>
    <mergeCell ref="AO503:AO505"/>
    <mergeCell ref="AP458:AQ458"/>
    <mergeCell ref="A459:A460"/>
    <mergeCell ref="B459:B460"/>
    <mergeCell ref="C459:C460"/>
    <mergeCell ref="D459:E459"/>
    <mergeCell ref="F459:F460"/>
    <mergeCell ref="G459:G460"/>
    <mergeCell ref="AP459:AP460"/>
    <mergeCell ref="AQ459:AQ460"/>
    <mergeCell ref="A456:B456"/>
    <mergeCell ref="A458:B458"/>
    <mergeCell ref="H458:AL458"/>
    <mergeCell ref="AM458:AM460"/>
    <mergeCell ref="AN458:AN460"/>
    <mergeCell ref="AO458:AO460"/>
    <mergeCell ref="AP413:AQ413"/>
    <mergeCell ref="A414:A415"/>
    <mergeCell ref="B414:B415"/>
    <mergeCell ref="C414:C415"/>
    <mergeCell ref="D414:E414"/>
    <mergeCell ref="F414:F415"/>
    <mergeCell ref="G414:G415"/>
    <mergeCell ref="AP414:AP415"/>
    <mergeCell ref="AQ414:AQ415"/>
    <mergeCell ref="A411:B411"/>
    <mergeCell ref="A413:B413"/>
    <mergeCell ref="H413:AL413"/>
    <mergeCell ref="AM413:AM415"/>
    <mergeCell ref="AN413:AN415"/>
    <mergeCell ref="AO413:AO415"/>
    <mergeCell ref="AP368:AQ368"/>
    <mergeCell ref="A369:A370"/>
    <mergeCell ref="B369:B370"/>
    <mergeCell ref="C369:C370"/>
    <mergeCell ref="D369:E369"/>
    <mergeCell ref="F369:F370"/>
    <mergeCell ref="G369:G370"/>
    <mergeCell ref="AP369:AP370"/>
    <mergeCell ref="AQ369:AQ370"/>
    <mergeCell ref="A366:B366"/>
    <mergeCell ref="A368:B368"/>
    <mergeCell ref="H368:AL368"/>
    <mergeCell ref="AM368:AM370"/>
    <mergeCell ref="AN368:AN370"/>
    <mergeCell ref="AO368:AO370"/>
    <mergeCell ref="AP323:AQ323"/>
    <mergeCell ref="A324:A325"/>
    <mergeCell ref="B324:B325"/>
    <mergeCell ref="C324:C325"/>
    <mergeCell ref="D324:E324"/>
    <mergeCell ref="F324:F325"/>
    <mergeCell ref="G324:G325"/>
    <mergeCell ref="AP324:AP325"/>
    <mergeCell ref="AQ324:AQ325"/>
    <mergeCell ref="A321:B321"/>
    <mergeCell ref="A323:B323"/>
    <mergeCell ref="H323:AL323"/>
    <mergeCell ref="AM323:AM325"/>
    <mergeCell ref="AN323:AN325"/>
    <mergeCell ref="AO323:AO325"/>
    <mergeCell ref="AN278:AN280"/>
    <mergeCell ref="AO278:AO280"/>
    <mergeCell ref="AP278:AQ278"/>
    <mergeCell ref="C279:C280"/>
    <mergeCell ref="D279:E279"/>
    <mergeCell ref="F279:F280"/>
    <mergeCell ref="G279:G280"/>
    <mergeCell ref="AP279:AP280"/>
    <mergeCell ref="AQ279:AQ280"/>
    <mergeCell ref="A231:B231"/>
    <mergeCell ref="A233:B233"/>
    <mergeCell ref="H233:AL233"/>
    <mergeCell ref="AM233:AM235"/>
    <mergeCell ref="AN233:AN235"/>
    <mergeCell ref="AO233:AO235"/>
    <mergeCell ref="AP188:AQ188"/>
    <mergeCell ref="A189:A190"/>
    <mergeCell ref="B189:B190"/>
    <mergeCell ref="C189:C190"/>
    <mergeCell ref="D189:E189"/>
    <mergeCell ref="F189:F190"/>
    <mergeCell ref="G189:G190"/>
    <mergeCell ref="AP189:AP190"/>
    <mergeCell ref="AQ189:AQ190"/>
    <mergeCell ref="AP233:AQ233"/>
    <mergeCell ref="A234:A235"/>
    <mergeCell ref="B234:B235"/>
    <mergeCell ref="C234:C235"/>
    <mergeCell ref="D234:E234"/>
    <mergeCell ref="F234:F235"/>
    <mergeCell ref="G234:G235"/>
    <mergeCell ref="AP234:AP235"/>
    <mergeCell ref="AQ234:AQ235"/>
    <mergeCell ref="A186:B186"/>
    <mergeCell ref="A188:B188"/>
    <mergeCell ref="H188:AL188"/>
    <mergeCell ref="AM188:AM190"/>
    <mergeCell ref="AN188:AN190"/>
    <mergeCell ref="AO188:AO190"/>
    <mergeCell ref="AP143:AQ143"/>
    <mergeCell ref="A144:A145"/>
    <mergeCell ref="B144:B145"/>
    <mergeCell ref="C144:C145"/>
    <mergeCell ref="D144:E144"/>
    <mergeCell ref="F144:F145"/>
    <mergeCell ref="G144:G145"/>
    <mergeCell ref="AP144:AP145"/>
    <mergeCell ref="AQ144:AQ145"/>
    <mergeCell ref="A141:B141"/>
    <mergeCell ref="A143:B143"/>
    <mergeCell ref="H143:AL143"/>
    <mergeCell ref="AM143:AM145"/>
    <mergeCell ref="AN143:AN145"/>
    <mergeCell ref="AO143:AO145"/>
    <mergeCell ref="C99:C100"/>
    <mergeCell ref="D99:E99"/>
    <mergeCell ref="F99:F100"/>
    <mergeCell ref="G99:G100"/>
    <mergeCell ref="AO53:AO55"/>
    <mergeCell ref="AP53:AQ53"/>
    <mergeCell ref="A54:A55"/>
    <mergeCell ref="B54:B55"/>
    <mergeCell ref="C54:C55"/>
    <mergeCell ref="D54:E54"/>
    <mergeCell ref="AP99:AP100"/>
    <mergeCell ref="AQ99:AQ100"/>
    <mergeCell ref="AP54:AP55"/>
    <mergeCell ref="AQ54:AQ55"/>
    <mergeCell ref="A96:B96"/>
    <mergeCell ref="A98:B98"/>
    <mergeCell ref="H98:AL98"/>
    <mergeCell ref="AM98:AM100"/>
    <mergeCell ref="AN98:AN100"/>
    <mergeCell ref="AO98:AO100"/>
    <mergeCell ref="AP98:AQ98"/>
    <mergeCell ref="A99:A100"/>
    <mergeCell ref="B99:B100"/>
    <mergeCell ref="A276:B276"/>
    <mergeCell ref="A278:B278"/>
    <mergeCell ref="H278:AL278"/>
    <mergeCell ref="A279:A280"/>
    <mergeCell ref="B279:B280"/>
    <mergeCell ref="AM278:AM280"/>
    <mergeCell ref="AY9:AZ10"/>
    <mergeCell ref="BA9:BB10"/>
    <mergeCell ref="A51:B51"/>
    <mergeCell ref="D9:E9"/>
    <mergeCell ref="F9:F10"/>
    <mergeCell ref="C9:C10"/>
    <mergeCell ref="AM8:AM10"/>
    <mergeCell ref="AN8:AN10"/>
    <mergeCell ref="AO8:AO10"/>
    <mergeCell ref="AP9:AP10"/>
    <mergeCell ref="AQ9:AQ10"/>
    <mergeCell ref="G9:G10"/>
    <mergeCell ref="F54:F55"/>
    <mergeCell ref="G54:G55"/>
    <mergeCell ref="A53:B53"/>
    <mergeCell ref="H53:AL53"/>
    <mergeCell ref="AM53:AM55"/>
    <mergeCell ref="AN53:AN55"/>
    <mergeCell ref="A1:BE1"/>
    <mergeCell ref="AU3:BB3"/>
    <mergeCell ref="AU4:AX4"/>
    <mergeCell ref="AY4:BB4"/>
    <mergeCell ref="AU5:AX5"/>
    <mergeCell ref="AY5:BB5"/>
    <mergeCell ref="A8:B8"/>
    <mergeCell ref="H8:AL8"/>
    <mergeCell ref="AS8:AS10"/>
    <mergeCell ref="AU8:BB8"/>
    <mergeCell ref="BD8:BE10"/>
    <mergeCell ref="A9:A10"/>
    <mergeCell ref="B9:B10"/>
    <mergeCell ref="AU9:AV10"/>
    <mergeCell ref="AW9:AX10"/>
    <mergeCell ref="AP8:AQ8"/>
  </mergeCells>
  <conditionalFormatting sqref="H56:AI95">
    <cfRule type="cellIs" dxfId="65" priority="1" operator="equal">
      <formula>0</formula>
    </cfRule>
  </conditionalFormatting>
  <conditionalFormatting sqref="H146:AK185">
    <cfRule type="cellIs" dxfId="64" priority="2" operator="equal">
      <formula>0</formula>
    </cfRule>
  </conditionalFormatting>
  <conditionalFormatting sqref="H236:AK275">
    <cfRule type="cellIs" dxfId="63" priority="3" operator="equal">
      <formula>0</formula>
    </cfRule>
  </conditionalFormatting>
  <conditionalFormatting sqref="H371:AK410">
    <cfRule type="cellIs" dxfId="62" priority="4" operator="equal">
      <formula>0</formula>
    </cfRule>
  </conditionalFormatting>
  <conditionalFormatting sqref="H461:AK500">
    <cfRule type="cellIs" dxfId="61" priority="5" operator="equal">
      <formula>0</formula>
    </cfRule>
  </conditionalFormatting>
  <conditionalFormatting sqref="H11:AL50">
    <cfRule type="cellIs" dxfId="60" priority="495" operator="equal">
      <formula>0</formula>
    </cfRule>
  </conditionalFormatting>
  <conditionalFormatting sqref="H51:AL51">
    <cfRule type="colorScale" priority="139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96:AL96">
    <cfRule type="colorScale" priority="22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101:AL140">
    <cfRule type="cellIs" dxfId="59" priority="11" operator="equal">
      <formula>0</formula>
    </cfRule>
  </conditionalFormatting>
  <conditionalFormatting sqref="H141:AL141">
    <cfRule type="colorScale" priority="21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186:AL186">
    <cfRule type="colorScale" priority="20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191:AL230">
    <cfRule type="cellIs" dxfId="58" priority="10" operator="equal">
      <formula>0</formula>
    </cfRule>
  </conditionalFormatting>
  <conditionalFormatting sqref="H231:AL231">
    <cfRule type="colorScale" priority="19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276:AL276">
    <cfRule type="colorScale" priority="18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281:AL320">
    <cfRule type="cellIs" dxfId="57" priority="9" operator="equal">
      <formula>0</formula>
    </cfRule>
  </conditionalFormatting>
  <conditionalFormatting sqref="H321:AL321">
    <cfRule type="colorScale" priority="17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326:AL365">
    <cfRule type="cellIs" dxfId="56" priority="8" operator="equal">
      <formula>0</formula>
    </cfRule>
  </conditionalFormatting>
  <conditionalFormatting sqref="H366:AL366">
    <cfRule type="colorScale" priority="16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411:AL411">
    <cfRule type="colorScale" priority="15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416:AL455">
    <cfRule type="cellIs" dxfId="55" priority="7" operator="equal">
      <formula>0</formula>
    </cfRule>
  </conditionalFormatting>
  <conditionalFormatting sqref="H456:AL456">
    <cfRule type="colorScale" priority="14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501:AL501">
    <cfRule type="colorScale" priority="13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H506:AL545">
    <cfRule type="cellIs" dxfId="54" priority="6" operator="equal">
      <formula>0</formula>
    </cfRule>
  </conditionalFormatting>
  <conditionalFormatting sqref="H546:AL546">
    <cfRule type="colorScale" priority="12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J56:AL95">
    <cfRule type="containsBlanks" dxfId="53" priority="88">
      <formula>LEN(TRIM(AJ56))=0</formula>
    </cfRule>
  </conditionalFormatting>
  <conditionalFormatting sqref="AL146:AL185">
    <cfRule type="containsBlanks" dxfId="52" priority="76">
      <formula>LEN(TRIM(AL146))=0</formula>
    </cfRule>
  </conditionalFormatting>
  <conditionalFormatting sqref="AL236:AL275">
    <cfRule type="containsBlanks" dxfId="51" priority="64">
      <formula>LEN(TRIM(AL236))=0</formula>
    </cfRule>
  </conditionalFormatting>
  <conditionalFormatting sqref="AL371:AL410">
    <cfRule type="containsBlanks" dxfId="50" priority="46">
      <formula>LEN(TRIM(AL371))=0</formula>
    </cfRule>
  </conditionalFormatting>
  <conditionalFormatting sqref="AL461:AL500">
    <cfRule type="containsBlanks" dxfId="49" priority="34">
      <formula>LEN(TRIM(AL461))=0</formula>
    </cfRule>
  </conditionalFormatting>
  <conditionalFormatting sqref="AP11:AP50">
    <cfRule type="containsText" dxfId="48" priority="93" operator="containsText" text="CADUCADO">
      <formula>NOT(ISERROR(SEARCH("CADUCADO",AP11)))</formula>
    </cfRule>
    <cfRule type="containsText" dxfId="47" priority="94" operator="containsText" text="A TIEMPO">
      <formula>NOT(ISERROR(SEARCH("A TIEMPO",AP11)))</formula>
    </cfRule>
    <cfRule type="containsText" dxfId="46" priority="95" operator="containsText" text="ALERTA">
      <formula>NOT(ISERROR(SEARCH("ALERTA",AP11)))</formula>
    </cfRule>
  </conditionalFormatting>
  <conditionalFormatting sqref="AP56:AP95">
    <cfRule type="containsText" dxfId="45" priority="84" operator="containsText" text="CADUCADO">
      <formula>NOT(ISERROR(SEARCH("CADUCADO",AP56)))</formula>
    </cfRule>
    <cfRule type="containsText" dxfId="44" priority="85" operator="containsText" text="A TIEMPO">
      <formula>NOT(ISERROR(SEARCH("A TIEMPO",AP56)))</formula>
    </cfRule>
    <cfRule type="containsText" dxfId="43" priority="86" operator="containsText" text="ALERTA">
      <formula>NOT(ISERROR(SEARCH("ALERTA",AP56)))</formula>
    </cfRule>
  </conditionalFormatting>
  <conditionalFormatting sqref="AP101:AP140">
    <cfRule type="containsText" dxfId="42" priority="78" operator="containsText" text="CADUCADO">
      <formula>NOT(ISERROR(SEARCH("CADUCADO",AP101)))</formula>
    </cfRule>
    <cfRule type="containsText" dxfId="41" priority="79" operator="containsText" text="A TIEMPO">
      <formula>NOT(ISERROR(SEARCH("A TIEMPO",AP101)))</formula>
    </cfRule>
    <cfRule type="containsText" dxfId="40" priority="80" operator="containsText" text="ALERTA">
      <formula>NOT(ISERROR(SEARCH("ALERTA",AP101)))</formula>
    </cfRule>
  </conditionalFormatting>
  <conditionalFormatting sqref="AP146:AP185">
    <cfRule type="containsText" dxfId="39" priority="74" operator="containsText" text="ALERTA">
      <formula>NOT(ISERROR(SEARCH("ALERTA",AP146)))</formula>
    </cfRule>
    <cfRule type="containsText" dxfId="38" priority="73" operator="containsText" text="A TIEMPO">
      <formula>NOT(ISERROR(SEARCH("A TIEMPO",AP146)))</formula>
    </cfRule>
    <cfRule type="containsText" dxfId="37" priority="72" operator="containsText" text="CADUCADO">
      <formula>NOT(ISERROR(SEARCH("CADUCADO",AP146)))</formula>
    </cfRule>
  </conditionalFormatting>
  <conditionalFormatting sqref="AP191:AP230">
    <cfRule type="containsText" dxfId="36" priority="68" operator="containsText" text="ALERTA">
      <formula>NOT(ISERROR(SEARCH("ALERTA",AP191)))</formula>
    </cfRule>
    <cfRule type="containsText" dxfId="35" priority="67" operator="containsText" text="A TIEMPO">
      <formula>NOT(ISERROR(SEARCH("A TIEMPO",AP191)))</formula>
    </cfRule>
    <cfRule type="containsText" dxfId="34" priority="66" operator="containsText" text="CADUCADO">
      <formula>NOT(ISERROR(SEARCH("CADUCADO",AP191)))</formula>
    </cfRule>
  </conditionalFormatting>
  <conditionalFormatting sqref="AP236:AP275">
    <cfRule type="containsText" dxfId="33" priority="62" operator="containsText" text="ALERTA">
      <formula>NOT(ISERROR(SEARCH("ALERTA",AP236)))</formula>
    </cfRule>
    <cfRule type="containsText" dxfId="32" priority="61" operator="containsText" text="A TIEMPO">
      <formula>NOT(ISERROR(SEARCH("A TIEMPO",AP236)))</formula>
    </cfRule>
    <cfRule type="containsText" dxfId="31" priority="60" operator="containsText" text="CADUCADO">
      <formula>NOT(ISERROR(SEARCH("CADUCADO",AP236)))</formula>
    </cfRule>
  </conditionalFormatting>
  <conditionalFormatting sqref="AP281:AP320">
    <cfRule type="containsText" dxfId="30" priority="55" operator="containsText" text="A TIEMPO">
      <formula>NOT(ISERROR(SEARCH("A TIEMPO",AP281)))</formula>
    </cfRule>
    <cfRule type="containsText" dxfId="29" priority="54" operator="containsText" text="CADUCADO">
      <formula>NOT(ISERROR(SEARCH("CADUCADO",AP281)))</formula>
    </cfRule>
    <cfRule type="containsText" dxfId="28" priority="56" operator="containsText" text="ALERTA">
      <formula>NOT(ISERROR(SEARCH("ALERTA",AP281)))</formula>
    </cfRule>
  </conditionalFormatting>
  <conditionalFormatting sqref="AP326:AP365">
    <cfRule type="containsText" dxfId="27" priority="48" operator="containsText" text="CADUCADO">
      <formula>NOT(ISERROR(SEARCH("CADUCADO",AP326)))</formula>
    </cfRule>
    <cfRule type="containsText" dxfId="26" priority="49" operator="containsText" text="A TIEMPO">
      <formula>NOT(ISERROR(SEARCH("A TIEMPO",AP326)))</formula>
    </cfRule>
    <cfRule type="containsText" dxfId="25" priority="50" operator="containsText" text="ALERTA">
      <formula>NOT(ISERROR(SEARCH("ALERTA",AP326)))</formula>
    </cfRule>
  </conditionalFormatting>
  <conditionalFormatting sqref="AP371:AP410">
    <cfRule type="containsText" dxfId="24" priority="44" operator="containsText" text="ALERTA">
      <formula>NOT(ISERROR(SEARCH("ALERTA",AP371)))</formula>
    </cfRule>
    <cfRule type="containsText" dxfId="23" priority="43" operator="containsText" text="A TIEMPO">
      <formula>NOT(ISERROR(SEARCH("A TIEMPO",AP371)))</formula>
    </cfRule>
    <cfRule type="containsText" dxfId="22" priority="42" operator="containsText" text="CADUCADO">
      <formula>NOT(ISERROR(SEARCH("CADUCADO",AP371)))</formula>
    </cfRule>
  </conditionalFormatting>
  <conditionalFormatting sqref="AP416:AP455">
    <cfRule type="containsText" dxfId="21" priority="37" operator="containsText" text="A TIEMPO">
      <formula>NOT(ISERROR(SEARCH("A TIEMPO",AP416)))</formula>
    </cfRule>
    <cfRule type="containsText" dxfId="20" priority="36" operator="containsText" text="CADUCADO">
      <formula>NOT(ISERROR(SEARCH("CADUCADO",AP416)))</formula>
    </cfRule>
    <cfRule type="containsText" dxfId="19" priority="38" operator="containsText" text="ALERTA">
      <formula>NOT(ISERROR(SEARCH("ALERTA",AP416)))</formula>
    </cfRule>
  </conditionalFormatting>
  <conditionalFormatting sqref="AP461:AP500">
    <cfRule type="containsText" dxfId="18" priority="32" operator="containsText" text="ALERTA">
      <formula>NOT(ISERROR(SEARCH("ALERTA",AP461)))</formula>
    </cfRule>
    <cfRule type="containsText" dxfId="17" priority="31" operator="containsText" text="A TIEMPO">
      <formula>NOT(ISERROR(SEARCH("A TIEMPO",AP461)))</formula>
    </cfRule>
    <cfRule type="containsText" dxfId="16" priority="30" operator="containsText" text="CADUCADO">
      <formula>NOT(ISERROR(SEARCH("CADUCADO",AP461)))</formula>
    </cfRule>
  </conditionalFormatting>
  <conditionalFormatting sqref="AP506:AP545">
    <cfRule type="containsText" dxfId="15" priority="26" operator="containsText" text="ALERTA">
      <formula>NOT(ISERROR(SEARCH("ALERTA",AP506)))</formula>
    </cfRule>
    <cfRule type="containsText" dxfId="14" priority="25" operator="containsText" text="A TIEMPO">
      <formula>NOT(ISERROR(SEARCH("A TIEMPO",AP506)))</formula>
    </cfRule>
    <cfRule type="containsText" dxfId="13" priority="24" operator="containsText" text="CADUCADO">
      <formula>NOT(ISERROR(SEARCH("CADUCADO",AP506)))</formula>
    </cfRule>
  </conditionalFormatting>
  <conditionalFormatting sqref="AQ11:AQ50">
    <cfRule type="iconSet" priority="89">
      <iconSet>
        <cfvo type="percent" val="0"/>
        <cfvo type="num" val="0"/>
        <cfvo type="num" val="90"/>
      </iconSet>
    </cfRule>
  </conditionalFormatting>
  <conditionalFormatting sqref="AQ56:AQ95">
    <cfRule type="iconSet" priority="83">
      <iconSet>
        <cfvo type="percent" val="0"/>
        <cfvo type="num" val="0"/>
        <cfvo type="num" val="90"/>
      </iconSet>
    </cfRule>
  </conditionalFormatting>
  <conditionalFormatting sqref="AQ101:AQ140">
    <cfRule type="iconSet" priority="77">
      <iconSet>
        <cfvo type="percent" val="0"/>
        <cfvo type="num" val="0"/>
        <cfvo type="num" val="90"/>
      </iconSet>
    </cfRule>
  </conditionalFormatting>
  <conditionalFormatting sqref="AQ146:AQ185">
    <cfRule type="iconSet" priority="71">
      <iconSet>
        <cfvo type="percent" val="0"/>
        <cfvo type="num" val="0"/>
        <cfvo type="num" val="90"/>
      </iconSet>
    </cfRule>
  </conditionalFormatting>
  <conditionalFormatting sqref="AQ191:AQ230">
    <cfRule type="iconSet" priority="65">
      <iconSet>
        <cfvo type="percent" val="0"/>
        <cfvo type="num" val="0"/>
        <cfvo type="num" val="90"/>
      </iconSet>
    </cfRule>
  </conditionalFormatting>
  <conditionalFormatting sqref="AQ236:AQ275">
    <cfRule type="iconSet" priority="59">
      <iconSet>
        <cfvo type="percent" val="0"/>
        <cfvo type="num" val="0"/>
        <cfvo type="num" val="90"/>
      </iconSet>
    </cfRule>
  </conditionalFormatting>
  <conditionalFormatting sqref="AQ281:AQ320">
    <cfRule type="iconSet" priority="53">
      <iconSet>
        <cfvo type="percent" val="0"/>
        <cfvo type="num" val="0"/>
        <cfvo type="num" val="90"/>
      </iconSet>
    </cfRule>
  </conditionalFormatting>
  <conditionalFormatting sqref="AQ326:AQ365">
    <cfRule type="iconSet" priority="47">
      <iconSet>
        <cfvo type="percent" val="0"/>
        <cfvo type="num" val="0"/>
        <cfvo type="num" val="90"/>
      </iconSet>
    </cfRule>
  </conditionalFormatting>
  <conditionalFormatting sqref="AQ371:AQ410">
    <cfRule type="iconSet" priority="41">
      <iconSet>
        <cfvo type="percent" val="0"/>
        <cfvo type="num" val="0"/>
        <cfvo type="num" val="90"/>
      </iconSet>
    </cfRule>
  </conditionalFormatting>
  <conditionalFormatting sqref="AQ416:AQ455">
    <cfRule type="iconSet" priority="35">
      <iconSet>
        <cfvo type="percent" val="0"/>
        <cfvo type="num" val="0"/>
        <cfvo type="num" val="90"/>
      </iconSet>
    </cfRule>
  </conditionalFormatting>
  <conditionalFormatting sqref="AQ461:AQ500">
    <cfRule type="iconSet" priority="29">
      <iconSet>
        <cfvo type="percent" val="0"/>
        <cfvo type="num" val="0"/>
        <cfvo type="num" val="90"/>
      </iconSet>
    </cfRule>
  </conditionalFormatting>
  <conditionalFormatting sqref="AQ506:AQ545">
    <cfRule type="iconSet" priority="23">
      <iconSet>
        <cfvo type="percent" val="0"/>
        <cfvo type="num" val="0"/>
        <cfvo type="num" val="90"/>
      </iconSet>
    </cfRule>
  </conditionalFormatting>
  <conditionalFormatting sqref="AV11:AV50">
    <cfRule type="colorScale" priority="496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X11:AX50">
    <cfRule type="colorScale" priority="497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AZ11:AZ50">
    <cfRule type="colorScale" priority="498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BB11:BB50">
    <cfRule type="colorScale" priority="499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conditionalFormatting sqref="BE11:BE50">
    <cfRule type="colorScale" priority="500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dataValidations count="1">
    <dataValidation type="decimal" allowBlank="1" showInputMessage="1" showErrorMessage="1" sqref="AU11:BB50 BD11:BE50" xr:uid="{7FEA63AC-11CF-4BD5-98CE-C56472F955E2}">
      <formula1>0</formula1>
      <formula2>10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" orientation="landscape" horizont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1D35-E33B-46AE-933C-8BC8D7D5237A}">
  <sheetPr>
    <tabColor rgb="FFFF0000"/>
  </sheetPr>
  <dimension ref="A1:O451"/>
  <sheetViews>
    <sheetView workbookViewId="0">
      <selection activeCell="T14" sqref="T14"/>
    </sheetView>
  </sheetViews>
  <sheetFormatPr baseColWidth="10" defaultColWidth="11.33203125" defaultRowHeight="14.4" x14ac:dyDescent="0.3"/>
  <cols>
    <col min="1" max="1" width="39.5546875" style="34" customWidth="1"/>
    <col min="2" max="2" width="32.6640625" style="34" customWidth="1"/>
    <col min="3" max="3" width="33.5546875" style="34" customWidth="1"/>
    <col min="4" max="4" width="12.109375" style="35" customWidth="1"/>
    <col min="5" max="5" width="20.109375" style="34" customWidth="1"/>
    <col min="6" max="6" width="12.5546875" style="34" customWidth="1"/>
    <col min="7" max="7" width="0" style="33" hidden="1" customWidth="1"/>
    <col min="8" max="8" width="11.33203125" style="33" hidden="1" customWidth="1"/>
    <col min="9" max="9" width="28.109375" style="33" hidden="1" customWidth="1"/>
    <col min="10" max="10" width="11.33203125" style="33" hidden="1" customWidth="1"/>
    <col min="11" max="11" width="16.44140625" style="33" hidden="1" customWidth="1"/>
    <col min="12" max="12" width="11.33203125" style="33" hidden="1" customWidth="1"/>
    <col min="13" max="13" width="35.33203125" style="33" hidden="1" customWidth="1"/>
    <col min="14" max="14" width="11.33203125" style="33" hidden="1" customWidth="1"/>
    <col min="15" max="15" width="18.5546875" style="33" hidden="1" customWidth="1"/>
    <col min="16" max="16" width="11.33203125" style="33" customWidth="1"/>
    <col min="17" max="16384" width="11.33203125" style="33"/>
  </cols>
  <sheetData>
    <row r="1" spans="1:15" s="31" customFormat="1" ht="63.6" customHeight="1" x14ac:dyDescent="0.25">
      <c r="A1" s="156"/>
      <c r="B1" s="157"/>
      <c r="C1" s="157"/>
      <c r="D1" s="157"/>
      <c r="E1" s="157"/>
      <c r="F1" s="157"/>
    </row>
    <row r="2" spans="1:15" s="31" customFormat="1" ht="37.950000000000003" customHeight="1" x14ac:dyDescent="0.25">
      <c r="A2" s="158" t="s">
        <v>709</v>
      </c>
      <c r="B2" s="158"/>
      <c r="C2" s="158"/>
      <c r="D2" s="158"/>
      <c r="E2" s="158"/>
      <c r="F2" s="158"/>
    </row>
    <row r="3" spans="1:15" ht="22.8" customHeight="1" x14ac:dyDescent="0.3">
      <c r="A3" s="32" t="s">
        <v>710</v>
      </c>
      <c r="B3" s="32" t="s">
        <v>711</v>
      </c>
      <c r="C3" s="32" t="s">
        <v>8</v>
      </c>
      <c r="D3" s="32" t="s">
        <v>712</v>
      </c>
      <c r="E3" s="32" t="s">
        <v>259</v>
      </c>
      <c r="F3" s="32" t="s">
        <v>3</v>
      </c>
      <c r="I3" s="32" t="s">
        <v>4</v>
      </c>
      <c r="K3" s="32" t="s">
        <v>707</v>
      </c>
      <c r="M3" s="32" t="s">
        <v>6</v>
      </c>
      <c r="O3" s="32" t="s">
        <v>931</v>
      </c>
    </row>
    <row r="4" spans="1:15" x14ac:dyDescent="0.3">
      <c r="A4" s="34" t="s">
        <v>52</v>
      </c>
      <c r="B4" s="34" t="s">
        <v>261</v>
      </c>
      <c r="C4" s="34" t="s">
        <v>262</v>
      </c>
      <c r="D4" s="35" t="s">
        <v>12</v>
      </c>
      <c r="E4" s="36">
        <v>22627</v>
      </c>
      <c r="F4" s="37">
        <f ca="1">IF(T_CÓDIGO[[#This Row],[FECHA DE NACIMIENTO]]="","",YEAR(TODAY())-YEAR(T_CÓDIGO[[#This Row],[FECHA DE NACIMIENTO]])-IF(OR(MONTH(TODAY())&lt;MONTH(E4),AND(MONTH(TODAY())=MONTH(E4),DAY(TODAY())&lt;DAY(E4))),1,0))</f>
        <v>62</v>
      </c>
      <c r="I4" s="38" t="s">
        <v>925</v>
      </c>
      <c r="K4" s="38" t="s">
        <v>926</v>
      </c>
      <c r="M4" s="39" t="s">
        <v>185</v>
      </c>
      <c r="O4" s="39" t="s">
        <v>929</v>
      </c>
    </row>
    <row r="5" spans="1:15" x14ac:dyDescent="0.3">
      <c r="A5" s="34" t="s">
        <v>713</v>
      </c>
      <c r="B5" s="34" t="s">
        <v>263</v>
      </c>
      <c r="C5" s="34" t="s">
        <v>400</v>
      </c>
      <c r="D5" s="35" t="s">
        <v>12</v>
      </c>
      <c r="E5" s="36">
        <v>36225</v>
      </c>
      <c r="F5" s="37">
        <f ca="1">IF(T_CÓDIGO[[#This Row],[FECHA DE NACIMIENTO]]="","",YEAR(TODAY())-YEAR(T_CÓDIGO[[#This Row],[FECHA DE NACIMIENTO]])-IF(OR(MONTH(TODAY())&lt;MONTH(E5),AND(MONTH(TODAY())=MONTH(E5),DAY(TODAY())&lt;DAY(E5))),1,0))</f>
        <v>25</v>
      </c>
      <c r="I5" s="38" t="s">
        <v>231</v>
      </c>
      <c r="K5" s="38" t="s">
        <v>927</v>
      </c>
      <c r="M5" s="39" t="s">
        <v>186</v>
      </c>
      <c r="O5" s="39" t="s">
        <v>930</v>
      </c>
    </row>
    <row r="6" spans="1:15" x14ac:dyDescent="0.3">
      <c r="A6" s="34" t="s">
        <v>264</v>
      </c>
      <c r="B6" s="34" t="s">
        <v>265</v>
      </c>
      <c r="C6" s="34" t="s">
        <v>262</v>
      </c>
      <c r="D6" s="35" t="s">
        <v>12</v>
      </c>
      <c r="E6" s="36">
        <v>36225</v>
      </c>
      <c r="F6" s="37">
        <f ca="1">IF(T_CÓDIGO[[#This Row],[FECHA DE NACIMIENTO]]="","",YEAR(TODAY())-YEAR(T_CÓDIGO[[#This Row],[FECHA DE NACIMIENTO]])-IF(OR(MONTH(TODAY())&lt;MONTH(E6),AND(MONTH(TODAY())=MONTH(E6),DAY(TODAY())&lt;DAY(E6))),1,0))</f>
        <v>25</v>
      </c>
      <c r="I6" s="38" t="s">
        <v>91</v>
      </c>
      <c r="M6" s="39" t="s">
        <v>94</v>
      </c>
    </row>
    <row r="7" spans="1:15" x14ac:dyDescent="0.3">
      <c r="A7" s="34" t="s">
        <v>266</v>
      </c>
      <c r="B7" s="34" t="s">
        <v>267</v>
      </c>
      <c r="C7" s="34" t="s">
        <v>268</v>
      </c>
      <c r="D7" s="35" t="s">
        <v>12</v>
      </c>
      <c r="E7" s="36">
        <v>30045</v>
      </c>
      <c r="F7" s="37">
        <f ca="1">IF(T_CÓDIGO[[#This Row],[FECHA DE NACIMIENTO]]="","",YEAR(TODAY())-YEAR(T_CÓDIGO[[#This Row],[FECHA DE NACIMIENTO]])-IF(OR(MONTH(TODAY())&lt;MONTH(E7),AND(MONTH(TODAY())=MONTH(E7),DAY(TODAY())&lt;DAY(E7))),1,0))</f>
        <v>42</v>
      </c>
      <c r="I7" s="38" t="s">
        <v>232</v>
      </c>
      <c r="M7" s="39" t="s">
        <v>50</v>
      </c>
    </row>
    <row r="8" spans="1:15" x14ac:dyDescent="0.3">
      <c r="A8" s="34" t="s">
        <v>20</v>
      </c>
      <c r="B8" s="34" t="s">
        <v>269</v>
      </c>
      <c r="C8" s="34" t="s">
        <v>268</v>
      </c>
      <c r="D8" s="35" t="s">
        <v>12</v>
      </c>
      <c r="E8" s="36">
        <v>29672</v>
      </c>
      <c r="F8" s="37">
        <f ca="1">IF(T_CÓDIGO[[#This Row],[FECHA DE NACIMIENTO]]="","",YEAR(TODAY())-YEAR(T_CÓDIGO[[#This Row],[FECHA DE NACIMIENTO]])-IF(OR(MONTH(TODAY())&lt;MONTH(E8),AND(MONTH(TODAY())=MONTH(E8),DAY(TODAY())&lt;DAY(E8))),1,0))</f>
        <v>43</v>
      </c>
      <c r="M8" s="39" t="s">
        <v>187</v>
      </c>
    </row>
    <row r="9" spans="1:15" x14ac:dyDescent="0.3">
      <c r="A9" s="34" t="s">
        <v>28</v>
      </c>
      <c r="B9" s="34" t="s">
        <v>270</v>
      </c>
      <c r="C9" s="34" t="s">
        <v>271</v>
      </c>
      <c r="D9" s="35" t="s">
        <v>12</v>
      </c>
      <c r="E9" s="36">
        <v>30415</v>
      </c>
      <c r="F9" s="37">
        <f ca="1">IF(T_CÓDIGO[[#This Row],[FECHA DE NACIMIENTO]]="","",YEAR(TODAY())-YEAR(T_CÓDIGO[[#This Row],[FECHA DE NACIMIENTO]])-IF(OR(MONTH(TODAY())&lt;MONTH(E9),AND(MONTH(TODAY())=MONTH(E9),DAY(TODAY())&lt;DAY(E9))),1,0))</f>
        <v>41</v>
      </c>
      <c r="M9" s="39" t="s">
        <v>46</v>
      </c>
    </row>
    <row r="10" spans="1:15" x14ac:dyDescent="0.3">
      <c r="A10" s="34" t="s">
        <v>273</v>
      </c>
      <c r="B10" s="34">
        <v>1105418428</v>
      </c>
      <c r="C10" s="34" t="s">
        <v>262</v>
      </c>
      <c r="D10" s="35" t="s">
        <v>12</v>
      </c>
      <c r="E10" s="36">
        <v>36924</v>
      </c>
      <c r="F10" s="37">
        <f ca="1">IF(T_CÓDIGO[[#This Row],[FECHA DE NACIMIENTO]]="","",YEAR(TODAY())-YEAR(T_CÓDIGO[[#This Row],[FECHA DE NACIMIENTO]])-IF(OR(MONTH(TODAY())&lt;MONTH(E10),AND(MONTH(TODAY())=MONTH(E10),DAY(TODAY())&lt;DAY(E10))),1,0))</f>
        <v>23</v>
      </c>
      <c r="M10" s="39" t="s">
        <v>36</v>
      </c>
    </row>
    <row r="11" spans="1:15" x14ac:dyDescent="0.3">
      <c r="A11" s="34" t="s">
        <v>70</v>
      </c>
      <c r="B11" s="34" t="s">
        <v>275</v>
      </c>
      <c r="C11" s="34" t="s">
        <v>276</v>
      </c>
      <c r="D11" s="35" t="s">
        <v>12</v>
      </c>
      <c r="E11" s="36">
        <v>32200</v>
      </c>
      <c r="F11" s="37">
        <f ca="1">IF(T_CÓDIGO[[#This Row],[FECHA DE NACIMIENTO]]="","",YEAR(TODAY())-YEAR(T_CÓDIGO[[#This Row],[FECHA DE NACIMIENTO]])-IF(OR(MONTH(TODAY())&lt;MONTH(E11),AND(MONTH(TODAY())=MONTH(E11),DAY(TODAY())&lt;DAY(E11))),1,0))</f>
        <v>36</v>
      </c>
      <c r="M11" s="39" t="s">
        <v>92</v>
      </c>
    </row>
    <row r="12" spans="1:15" x14ac:dyDescent="0.3">
      <c r="A12" s="34" t="s">
        <v>714</v>
      </c>
      <c r="B12" s="34">
        <v>1900828284</v>
      </c>
      <c r="C12" s="34" t="s">
        <v>260</v>
      </c>
      <c r="D12" s="35" t="s">
        <v>12</v>
      </c>
      <c r="E12" s="36">
        <v>35522</v>
      </c>
      <c r="F12" s="37">
        <f ca="1">IF(T_CÓDIGO[[#This Row],[FECHA DE NACIMIENTO]]="","",YEAR(TODAY())-YEAR(T_CÓDIGO[[#This Row],[FECHA DE NACIMIENTO]])-IF(OR(MONTH(TODAY())&lt;MONTH(E12),AND(MONTH(TODAY())=MONTH(E12),DAY(TODAY())&lt;DAY(E12))),1,0))</f>
        <v>27</v>
      </c>
      <c r="M12" s="39" t="s">
        <v>233</v>
      </c>
    </row>
    <row r="13" spans="1:15" x14ac:dyDescent="0.3">
      <c r="A13" s="34" t="s">
        <v>152</v>
      </c>
      <c r="B13" s="34">
        <v>1725427924</v>
      </c>
      <c r="C13" s="34" t="s">
        <v>271</v>
      </c>
      <c r="D13" s="35" t="s">
        <v>12</v>
      </c>
      <c r="E13" s="36">
        <v>35575</v>
      </c>
      <c r="F13" s="37">
        <f ca="1">IF(T_CÓDIGO[[#This Row],[FECHA DE NACIMIENTO]]="","",YEAR(TODAY())-YEAR(T_CÓDIGO[[#This Row],[FECHA DE NACIMIENTO]])-IF(OR(MONTH(TODAY())&lt;MONTH(E13),AND(MONTH(TODAY())=MONTH(E13),DAY(TODAY())&lt;DAY(E13))),1,0))</f>
        <v>27</v>
      </c>
      <c r="M13" s="39" t="s">
        <v>97</v>
      </c>
    </row>
    <row r="14" spans="1:15" x14ac:dyDescent="0.3">
      <c r="A14" s="34" t="s">
        <v>280</v>
      </c>
      <c r="B14" s="34" t="s">
        <v>715</v>
      </c>
      <c r="C14" s="34" t="s">
        <v>278</v>
      </c>
      <c r="D14" s="35" t="s">
        <v>24</v>
      </c>
      <c r="E14" s="36">
        <v>34768</v>
      </c>
      <c r="F14" s="37">
        <f ca="1">IF(T_CÓDIGO[[#This Row],[FECHA DE NACIMIENTO]]="","",YEAR(TODAY())-YEAR(T_CÓDIGO[[#This Row],[FECHA DE NACIMIENTO]])-IF(OR(MONTH(TODAY())&lt;MONTH(E14),AND(MONTH(TODAY())=MONTH(E14),DAY(TODAY())&lt;DAY(E14))),1,0))</f>
        <v>29</v>
      </c>
      <c r="M14" s="39" t="s">
        <v>21</v>
      </c>
    </row>
    <row r="15" spans="1:15" x14ac:dyDescent="0.3">
      <c r="A15" s="34" t="s">
        <v>131</v>
      </c>
      <c r="B15" s="34">
        <v>1804169868</v>
      </c>
      <c r="C15" s="34" t="s">
        <v>279</v>
      </c>
      <c r="D15" s="35" t="s">
        <v>12</v>
      </c>
      <c r="E15" s="36">
        <v>33591</v>
      </c>
      <c r="F15" s="37">
        <f ca="1">IF(T_CÓDIGO[[#This Row],[FECHA DE NACIMIENTO]]="","",YEAR(TODAY())-YEAR(T_CÓDIGO[[#This Row],[FECHA DE NACIMIENTO]])-IF(OR(MONTH(TODAY())&lt;MONTH(E15),AND(MONTH(TODAY())=MONTH(E15),DAY(TODAY())&lt;DAY(E15))),1,0))</f>
        <v>32</v>
      </c>
      <c r="M15" s="39" t="s">
        <v>23</v>
      </c>
    </row>
    <row r="16" spans="1:15" x14ac:dyDescent="0.3">
      <c r="A16" s="34" t="s">
        <v>145</v>
      </c>
      <c r="B16" s="34">
        <v>1900786375</v>
      </c>
      <c r="C16" s="34" t="s">
        <v>260</v>
      </c>
      <c r="D16" s="35" t="s">
        <v>12</v>
      </c>
      <c r="E16" s="36">
        <v>33833</v>
      </c>
      <c r="F16" s="37">
        <f ca="1">IF(T_CÓDIGO[[#This Row],[FECHA DE NACIMIENTO]]="","",YEAR(TODAY())-YEAR(T_CÓDIGO[[#This Row],[FECHA DE NACIMIENTO]])-IF(OR(MONTH(TODAY())&lt;MONTH(E16),AND(MONTH(TODAY())=MONTH(E16),DAY(TODAY())&lt;DAY(E16))),1,0))</f>
        <v>32</v>
      </c>
      <c r="M16" s="39" t="s">
        <v>57</v>
      </c>
    </row>
    <row r="17" spans="1:13" x14ac:dyDescent="0.3">
      <c r="A17" s="34" t="s">
        <v>87</v>
      </c>
      <c r="B17" s="34" t="s">
        <v>281</v>
      </c>
      <c r="C17" s="34" t="s">
        <v>282</v>
      </c>
      <c r="D17" s="35" t="s">
        <v>12</v>
      </c>
      <c r="E17" s="36">
        <v>34060</v>
      </c>
      <c r="F17" s="37">
        <f ca="1">IF(T_CÓDIGO[[#This Row],[FECHA DE NACIMIENTO]]="","",YEAR(TODAY())-YEAR(T_CÓDIGO[[#This Row],[FECHA DE NACIMIENTO]])-IF(OR(MONTH(TODAY())&lt;MONTH(E17),AND(MONTH(TODAY())=MONTH(E17),DAY(TODAY())&lt;DAY(E17))),1,0))</f>
        <v>31</v>
      </c>
      <c r="M17" s="39" t="s">
        <v>66</v>
      </c>
    </row>
    <row r="18" spans="1:13" x14ac:dyDescent="0.3">
      <c r="A18" s="34" t="s">
        <v>283</v>
      </c>
      <c r="B18" s="34">
        <v>1105072175</v>
      </c>
      <c r="C18" s="34" t="s">
        <v>262</v>
      </c>
      <c r="D18" s="35" t="s">
        <v>12</v>
      </c>
      <c r="E18" s="36">
        <v>35774</v>
      </c>
      <c r="F18" s="37">
        <f ca="1">IF(T_CÓDIGO[[#This Row],[FECHA DE NACIMIENTO]]="","",YEAR(TODAY())-YEAR(T_CÓDIGO[[#This Row],[FECHA DE NACIMIENTO]])-IF(OR(MONTH(TODAY())&lt;MONTH(E18),AND(MONTH(TODAY())=MONTH(E18),DAY(TODAY())&lt;DAY(E18))),1,0))</f>
        <v>27</v>
      </c>
      <c r="M18" s="39" t="s">
        <v>189</v>
      </c>
    </row>
    <row r="19" spans="1:13" x14ac:dyDescent="0.3">
      <c r="A19" s="34" t="s">
        <v>689</v>
      </c>
      <c r="B19" s="34" t="s">
        <v>690</v>
      </c>
      <c r="C19" s="34" t="s">
        <v>427</v>
      </c>
      <c r="D19" s="35" t="s">
        <v>24</v>
      </c>
      <c r="E19" s="36">
        <v>33706</v>
      </c>
      <c r="F19" s="37">
        <f ca="1">IF(T_CÓDIGO[[#This Row],[FECHA DE NACIMIENTO]]="","",YEAR(TODAY())-YEAR(T_CÓDIGO[[#This Row],[FECHA DE NACIMIENTO]])-IF(OR(MONTH(TODAY())&lt;MONTH(E19),AND(MONTH(TODAY())=MONTH(E19),DAY(TODAY())&lt;DAY(E19))),1,0))</f>
        <v>32</v>
      </c>
      <c r="M19" s="39" t="s">
        <v>14</v>
      </c>
    </row>
    <row r="20" spans="1:13" x14ac:dyDescent="0.3">
      <c r="A20" s="34" t="s">
        <v>284</v>
      </c>
      <c r="B20" s="34" t="s">
        <v>285</v>
      </c>
      <c r="C20" s="34" t="s">
        <v>274</v>
      </c>
      <c r="D20" s="35" t="s">
        <v>12</v>
      </c>
      <c r="E20" s="36">
        <v>35774</v>
      </c>
      <c r="F20" s="37">
        <f ca="1">IF(T_CÓDIGO[[#This Row],[FECHA DE NACIMIENTO]]="","",YEAR(TODAY())-YEAR(T_CÓDIGO[[#This Row],[FECHA DE NACIMIENTO]])-IF(OR(MONTH(TODAY())&lt;MONTH(E20),AND(MONTH(TODAY())=MONTH(E20),DAY(TODAY())&lt;DAY(E20))),1,0))</f>
        <v>27</v>
      </c>
      <c r="M20" s="39" t="s">
        <v>72</v>
      </c>
    </row>
    <row r="21" spans="1:13" x14ac:dyDescent="0.3">
      <c r="A21" s="34" t="s">
        <v>716</v>
      </c>
      <c r="B21" s="34" t="s">
        <v>717</v>
      </c>
      <c r="C21" s="34" t="s">
        <v>260</v>
      </c>
      <c r="D21" s="35" t="s">
        <v>12</v>
      </c>
      <c r="E21" s="36">
        <v>33876</v>
      </c>
      <c r="F21" s="37">
        <f ca="1">IF(T_CÓDIGO[[#This Row],[FECHA DE NACIMIENTO]]="","",YEAR(TODAY())-YEAR(T_CÓDIGO[[#This Row],[FECHA DE NACIMIENTO]])-IF(OR(MONTH(TODAY())&lt;MONTH(E21),AND(MONTH(TODAY())=MONTH(E21),DAY(TODAY())&lt;DAY(E21))),1,0))</f>
        <v>32</v>
      </c>
      <c r="M21" s="39" t="s">
        <v>118</v>
      </c>
    </row>
    <row r="22" spans="1:13" x14ac:dyDescent="0.3">
      <c r="A22" s="34" t="s">
        <v>286</v>
      </c>
      <c r="B22" s="34" t="s">
        <v>287</v>
      </c>
      <c r="C22" s="34" t="s">
        <v>288</v>
      </c>
      <c r="D22" s="35" t="s">
        <v>12</v>
      </c>
      <c r="E22" s="36">
        <v>34849</v>
      </c>
      <c r="F22" s="37">
        <f ca="1">IF(T_CÓDIGO[[#This Row],[FECHA DE NACIMIENTO]]="","",YEAR(TODAY())-YEAR(T_CÓDIGO[[#This Row],[FECHA DE NACIMIENTO]])-IF(OR(MONTH(TODAY())&lt;MONTH(E22),AND(MONTH(TODAY())=MONTH(E22),DAY(TODAY())&lt;DAY(E22))),1,0))</f>
        <v>29</v>
      </c>
      <c r="M22" s="39" t="s">
        <v>190</v>
      </c>
    </row>
    <row r="23" spans="1:13" x14ac:dyDescent="0.3">
      <c r="A23" s="34" t="s">
        <v>289</v>
      </c>
      <c r="B23" s="34">
        <v>1720140688</v>
      </c>
      <c r="C23" s="34" t="s">
        <v>271</v>
      </c>
      <c r="D23" s="35" t="s">
        <v>12</v>
      </c>
      <c r="E23" s="36">
        <v>30714</v>
      </c>
      <c r="F23" s="37">
        <f ca="1">IF(T_CÓDIGO[[#This Row],[FECHA DE NACIMIENTO]]="","",YEAR(TODAY())-YEAR(T_CÓDIGO[[#This Row],[FECHA DE NACIMIENTO]])-IF(OR(MONTH(TODAY())&lt;MONTH(E23),AND(MONTH(TODAY())=MONTH(E23),DAY(TODAY())&lt;DAY(E23))),1,0))</f>
        <v>40</v>
      </c>
      <c r="M23" s="39" t="s">
        <v>31</v>
      </c>
    </row>
    <row r="24" spans="1:13" x14ac:dyDescent="0.3">
      <c r="A24" s="34" t="s">
        <v>126</v>
      </c>
      <c r="B24" s="34">
        <v>1718293861</v>
      </c>
      <c r="C24" s="34" t="s">
        <v>271</v>
      </c>
      <c r="D24" s="35" t="s">
        <v>12</v>
      </c>
      <c r="E24" s="36">
        <v>30120</v>
      </c>
      <c r="F24" s="37">
        <f ca="1">IF(T_CÓDIGO[[#This Row],[FECHA DE NACIMIENTO]]="","",YEAR(TODAY())-YEAR(T_CÓDIGO[[#This Row],[FECHA DE NACIMIENTO]])-IF(OR(MONTH(TODAY())&lt;MONTH(E24),AND(MONTH(TODAY())=MONTH(E24),DAY(TODAY())&lt;DAY(E24))),1,0))</f>
        <v>42</v>
      </c>
    </row>
    <row r="25" spans="1:13" x14ac:dyDescent="0.3">
      <c r="A25" s="34" t="s">
        <v>98</v>
      </c>
      <c r="B25" s="34">
        <v>1004096606</v>
      </c>
      <c r="C25" s="34" t="s">
        <v>260</v>
      </c>
      <c r="D25" s="35" t="s">
        <v>12</v>
      </c>
      <c r="E25" s="36">
        <v>34982</v>
      </c>
      <c r="F25" s="37">
        <f ca="1">IF(T_CÓDIGO[[#This Row],[FECHA DE NACIMIENTO]]="","",YEAR(TODAY())-YEAR(T_CÓDIGO[[#This Row],[FECHA DE NACIMIENTO]])-IF(OR(MONTH(TODAY())&lt;MONTH(E25),AND(MONTH(TODAY())=MONTH(E25),DAY(TODAY())&lt;DAY(E25))),1,0))</f>
        <v>29</v>
      </c>
    </row>
    <row r="26" spans="1:13" x14ac:dyDescent="0.3">
      <c r="A26" s="34" t="s">
        <v>103</v>
      </c>
      <c r="B26" s="34">
        <v>1726005943</v>
      </c>
      <c r="C26" s="34" t="s">
        <v>290</v>
      </c>
      <c r="D26" s="35" t="s">
        <v>12</v>
      </c>
      <c r="E26" s="36">
        <v>34910</v>
      </c>
      <c r="F26" s="37">
        <f ca="1">IF(T_CÓDIGO[[#This Row],[FECHA DE NACIMIENTO]]="","",YEAR(TODAY())-YEAR(T_CÓDIGO[[#This Row],[FECHA DE NACIMIENTO]])-IF(OR(MONTH(TODAY())&lt;MONTH(E26),AND(MONTH(TODAY())=MONTH(E26),DAY(TODAY())&lt;DAY(E26))),1,0))</f>
        <v>29</v>
      </c>
    </row>
    <row r="27" spans="1:13" x14ac:dyDescent="0.3">
      <c r="A27" s="34" t="s">
        <v>114</v>
      </c>
      <c r="B27" s="34">
        <v>1726210626</v>
      </c>
      <c r="C27" s="34" t="s">
        <v>260</v>
      </c>
      <c r="D27" s="35" t="s">
        <v>12</v>
      </c>
      <c r="E27" s="36">
        <v>34217</v>
      </c>
      <c r="F27" s="37">
        <f ca="1">IF(T_CÓDIGO[[#This Row],[FECHA DE NACIMIENTO]]="","",YEAR(TODAY())-YEAR(T_CÓDIGO[[#This Row],[FECHA DE NACIMIENTO]])-IF(OR(MONTH(TODAY())&lt;MONTH(E27),AND(MONTH(TODAY())=MONTH(E27),DAY(TODAY())&lt;DAY(E27))),1,0))</f>
        <v>31</v>
      </c>
    </row>
    <row r="28" spans="1:13" x14ac:dyDescent="0.3">
      <c r="A28" s="34" t="s">
        <v>291</v>
      </c>
      <c r="B28" s="34">
        <v>1600720401</v>
      </c>
      <c r="C28" s="34" t="s">
        <v>260</v>
      </c>
      <c r="D28" s="35" t="s">
        <v>12</v>
      </c>
      <c r="E28" s="36">
        <v>34693</v>
      </c>
      <c r="F28" s="37">
        <f ca="1">IF(T_CÓDIGO[[#This Row],[FECHA DE NACIMIENTO]]="","",YEAR(TODAY())-YEAR(T_CÓDIGO[[#This Row],[FECHA DE NACIMIENTO]])-IF(OR(MONTH(TODAY())&lt;MONTH(E28),AND(MONTH(TODAY())=MONTH(E28),DAY(TODAY())&lt;DAY(E28))),1,0))</f>
        <v>29</v>
      </c>
    </row>
    <row r="29" spans="1:13" x14ac:dyDescent="0.3">
      <c r="A29" s="34" t="s">
        <v>718</v>
      </c>
      <c r="B29" s="34" t="s">
        <v>719</v>
      </c>
      <c r="C29" s="34" t="s">
        <v>563</v>
      </c>
      <c r="D29" s="35" t="s">
        <v>12</v>
      </c>
      <c r="E29" s="36">
        <v>36348</v>
      </c>
      <c r="F29" s="37">
        <f ca="1">IF(T_CÓDIGO[[#This Row],[FECHA DE NACIMIENTO]]="","",YEAR(TODAY())-YEAR(T_CÓDIGO[[#This Row],[FECHA DE NACIMIENTO]])-IF(OR(MONTH(TODAY())&lt;MONTH(E29),AND(MONTH(TODAY())=MONTH(E29),DAY(TODAY())&lt;DAY(E29))),1,0))</f>
        <v>25</v>
      </c>
    </row>
    <row r="30" spans="1:13" x14ac:dyDescent="0.3">
      <c r="A30" s="34" t="s">
        <v>105</v>
      </c>
      <c r="B30" s="34">
        <v>1001804085</v>
      </c>
      <c r="C30" s="34" t="s">
        <v>292</v>
      </c>
      <c r="D30" s="35" t="s">
        <v>12</v>
      </c>
      <c r="E30" s="36">
        <v>26817</v>
      </c>
      <c r="F30" s="37">
        <f ca="1">IF(T_CÓDIGO[[#This Row],[FECHA DE NACIMIENTO]]="","",YEAR(TODAY())-YEAR(T_CÓDIGO[[#This Row],[FECHA DE NACIMIENTO]])-IF(OR(MONTH(TODAY())&lt;MONTH(E30),AND(MONTH(TODAY())=MONTH(E30),DAY(TODAY())&lt;DAY(E30))),1,0))</f>
        <v>51</v>
      </c>
    </row>
    <row r="31" spans="1:13" x14ac:dyDescent="0.3">
      <c r="A31" s="34" t="s">
        <v>293</v>
      </c>
      <c r="B31" s="34">
        <v>1723292031</v>
      </c>
      <c r="C31" s="34" t="s">
        <v>294</v>
      </c>
      <c r="D31" s="35" t="s">
        <v>12</v>
      </c>
      <c r="E31" s="36">
        <v>34611</v>
      </c>
      <c r="F31" s="37">
        <f ca="1">IF(T_CÓDIGO[[#This Row],[FECHA DE NACIMIENTO]]="","",YEAR(TODAY())-YEAR(T_CÓDIGO[[#This Row],[FECHA DE NACIMIENTO]])-IF(OR(MONTH(TODAY())&lt;MONTH(E31),AND(MONTH(TODAY())=MONTH(E31),DAY(TODAY())&lt;DAY(E31))),1,0))</f>
        <v>30</v>
      </c>
    </row>
    <row r="32" spans="1:13" x14ac:dyDescent="0.3">
      <c r="A32" s="34" t="s">
        <v>295</v>
      </c>
      <c r="B32" s="34">
        <v>1004756233</v>
      </c>
      <c r="C32" s="34" t="s">
        <v>260</v>
      </c>
      <c r="D32" s="35" t="s">
        <v>12</v>
      </c>
      <c r="E32" s="36">
        <v>36780</v>
      </c>
      <c r="F32" s="37">
        <f ca="1">IF(T_CÓDIGO[[#This Row],[FECHA DE NACIMIENTO]]="","",YEAR(TODAY())-YEAR(T_CÓDIGO[[#This Row],[FECHA DE NACIMIENTO]])-IF(OR(MONTH(TODAY())&lt;MONTH(E32),AND(MONTH(TODAY())=MONTH(E32),DAY(TODAY())&lt;DAY(E32))),1,0))</f>
        <v>24</v>
      </c>
    </row>
    <row r="33" spans="1:6" x14ac:dyDescent="0.3">
      <c r="A33" s="34" t="s">
        <v>720</v>
      </c>
      <c r="B33" s="34" t="s">
        <v>721</v>
      </c>
      <c r="C33" s="34" t="s">
        <v>348</v>
      </c>
      <c r="D33" s="35" t="s">
        <v>12</v>
      </c>
      <c r="E33" s="36">
        <v>37756</v>
      </c>
      <c r="F33" s="37">
        <f ca="1">IF(T_CÓDIGO[[#This Row],[FECHA DE NACIMIENTO]]="","",YEAR(TODAY())-YEAR(T_CÓDIGO[[#This Row],[FECHA DE NACIMIENTO]])-IF(OR(MONTH(TODAY())&lt;MONTH(E33),AND(MONTH(TODAY())=MONTH(E33),DAY(TODAY())&lt;DAY(E33))),1,0))</f>
        <v>21</v>
      </c>
    </row>
    <row r="34" spans="1:6" x14ac:dyDescent="0.3">
      <c r="A34" s="34" t="s">
        <v>296</v>
      </c>
      <c r="B34" s="34" t="s">
        <v>297</v>
      </c>
      <c r="C34" s="34" t="s">
        <v>262</v>
      </c>
      <c r="D34" s="35" t="s">
        <v>12</v>
      </c>
      <c r="E34" s="36">
        <v>35185</v>
      </c>
      <c r="F34" s="37">
        <f ca="1">IF(T_CÓDIGO[[#This Row],[FECHA DE NACIMIENTO]]="","",YEAR(TODAY())-YEAR(T_CÓDIGO[[#This Row],[FECHA DE NACIMIENTO]])-IF(OR(MONTH(TODAY())&lt;MONTH(E34),AND(MONTH(TODAY())=MONTH(E34),DAY(TODAY())&lt;DAY(E34))),1,0))</f>
        <v>28</v>
      </c>
    </row>
    <row r="35" spans="1:6" x14ac:dyDescent="0.3">
      <c r="A35" s="34" t="s">
        <v>722</v>
      </c>
      <c r="B35" s="34">
        <v>1150119277</v>
      </c>
      <c r="C35" s="34" t="s">
        <v>262</v>
      </c>
      <c r="D35" s="35" t="s">
        <v>12</v>
      </c>
      <c r="E35" s="36">
        <v>37795</v>
      </c>
      <c r="F35" s="37">
        <f ca="1">IF(T_CÓDIGO[[#This Row],[FECHA DE NACIMIENTO]]="","",YEAR(TODAY())-YEAR(T_CÓDIGO[[#This Row],[FECHA DE NACIMIENTO]])-IF(OR(MONTH(TODAY())&lt;MONTH(E35),AND(MONTH(TODAY())=MONTH(E35),DAY(TODAY())&lt;DAY(E35))),1,0))</f>
        <v>21</v>
      </c>
    </row>
    <row r="36" spans="1:6" x14ac:dyDescent="0.3">
      <c r="A36" s="34" t="s">
        <v>298</v>
      </c>
      <c r="B36" s="34" t="s">
        <v>299</v>
      </c>
      <c r="C36" s="34" t="s">
        <v>260</v>
      </c>
      <c r="D36" s="35" t="s">
        <v>12</v>
      </c>
      <c r="E36" s="36">
        <v>32208</v>
      </c>
      <c r="F36" s="37">
        <f ca="1">IF(T_CÓDIGO[[#This Row],[FECHA DE NACIMIENTO]]="","",YEAR(TODAY())-YEAR(T_CÓDIGO[[#This Row],[FECHA DE NACIMIENTO]])-IF(OR(MONTH(TODAY())&lt;MONTH(E36),AND(MONTH(TODAY())=MONTH(E36),DAY(TODAY())&lt;DAY(E36))),1,0))</f>
        <v>36</v>
      </c>
    </row>
    <row r="37" spans="1:6" x14ac:dyDescent="0.3">
      <c r="A37" s="34" t="s">
        <v>301</v>
      </c>
      <c r="B37" s="34">
        <v>1721803342</v>
      </c>
      <c r="C37" s="34" t="s">
        <v>302</v>
      </c>
      <c r="D37" s="35" t="s">
        <v>12</v>
      </c>
      <c r="E37" s="36">
        <v>31278</v>
      </c>
      <c r="F37" s="37">
        <f ca="1">IF(T_CÓDIGO[[#This Row],[FECHA DE NACIMIENTO]]="","",YEAR(TODAY())-YEAR(T_CÓDIGO[[#This Row],[FECHA DE NACIMIENTO]])-IF(OR(MONTH(TODAY())&lt;MONTH(E37),AND(MONTH(TODAY())=MONTH(E37),DAY(TODAY())&lt;DAY(E37))),1,0))</f>
        <v>39</v>
      </c>
    </row>
    <row r="38" spans="1:6" x14ac:dyDescent="0.3">
      <c r="A38" s="34" t="s">
        <v>723</v>
      </c>
      <c r="B38" s="34" t="s">
        <v>724</v>
      </c>
      <c r="C38" s="34" t="s">
        <v>260</v>
      </c>
      <c r="D38" s="35" t="s">
        <v>12</v>
      </c>
      <c r="E38" s="36">
        <v>37825</v>
      </c>
      <c r="F38" s="37">
        <f ca="1">IF(T_CÓDIGO[[#This Row],[FECHA DE NACIMIENTO]]="","",YEAR(TODAY())-YEAR(T_CÓDIGO[[#This Row],[FECHA DE NACIMIENTO]])-IF(OR(MONTH(TODAY())&lt;MONTH(E38),AND(MONTH(TODAY())=MONTH(E38),DAY(TODAY())&lt;DAY(E38))),1,0))</f>
        <v>21</v>
      </c>
    </row>
    <row r="39" spans="1:6" x14ac:dyDescent="0.3">
      <c r="A39" s="34" t="s">
        <v>304</v>
      </c>
      <c r="B39" s="34" t="s">
        <v>305</v>
      </c>
      <c r="C39" s="34" t="s">
        <v>262</v>
      </c>
      <c r="D39" s="35" t="s">
        <v>12</v>
      </c>
      <c r="E39" s="36">
        <v>36960</v>
      </c>
      <c r="F39" s="37">
        <f ca="1">IF(T_CÓDIGO[[#This Row],[FECHA DE NACIMIENTO]]="","",YEAR(TODAY())-YEAR(T_CÓDIGO[[#This Row],[FECHA DE NACIMIENTO]])-IF(OR(MONTH(TODAY())&lt;MONTH(E39),AND(MONTH(TODAY())=MONTH(E39),DAY(TODAY())&lt;DAY(E39))),1,0))</f>
        <v>23</v>
      </c>
    </row>
    <row r="40" spans="1:6" x14ac:dyDescent="0.3">
      <c r="A40" s="34" t="s">
        <v>725</v>
      </c>
      <c r="B40" s="34" t="s">
        <v>726</v>
      </c>
      <c r="C40" s="34" t="s">
        <v>260</v>
      </c>
      <c r="D40" s="35" t="s">
        <v>12</v>
      </c>
      <c r="E40" s="36">
        <v>37805</v>
      </c>
      <c r="F40" s="37">
        <f ca="1">IF(T_CÓDIGO[[#This Row],[FECHA DE NACIMIENTO]]="","",YEAR(TODAY())-YEAR(T_CÓDIGO[[#This Row],[FECHA DE NACIMIENTO]])-IF(OR(MONTH(TODAY())&lt;MONTH(E40),AND(MONTH(TODAY())=MONTH(E40),DAY(TODAY())&lt;DAY(E40))),1,0))</f>
        <v>21</v>
      </c>
    </row>
    <row r="41" spans="1:6" x14ac:dyDescent="0.3">
      <c r="A41" s="34" t="s">
        <v>49</v>
      </c>
      <c r="B41" s="34">
        <v>1900643188</v>
      </c>
      <c r="C41" s="34" t="s">
        <v>260</v>
      </c>
      <c r="D41" s="35" t="s">
        <v>12</v>
      </c>
      <c r="E41" s="36">
        <v>32252</v>
      </c>
      <c r="F41" s="37">
        <f ca="1">IF(T_CÓDIGO[[#This Row],[FECHA DE NACIMIENTO]]="","",YEAR(TODAY())-YEAR(T_CÓDIGO[[#This Row],[FECHA DE NACIMIENTO]])-IF(OR(MONTH(TODAY())&lt;MONTH(E41),AND(MONTH(TODAY())=MONTH(E41),DAY(TODAY())&lt;DAY(E41))),1,0))</f>
        <v>36</v>
      </c>
    </row>
    <row r="42" spans="1:6" x14ac:dyDescent="0.3">
      <c r="A42" s="34" t="s">
        <v>727</v>
      </c>
      <c r="B42" s="34">
        <v>1900585447</v>
      </c>
      <c r="C42" s="34" t="s">
        <v>260</v>
      </c>
      <c r="D42" s="35" t="s">
        <v>12</v>
      </c>
      <c r="E42" s="36">
        <v>32601</v>
      </c>
      <c r="F42" s="37">
        <f ca="1">IF(T_CÓDIGO[[#This Row],[FECHA DE NACIMIENTO]]="","",YEAR(TODAY())-YEAR(T_CÓDIGO[[#This Row],[FECHA DE NACIMIENTO]])-IF(OR(MONTH(TODAY())&lt;MONTH(E42),AND(MONTH(TODAY())=MONTH(E42),DAY(TODAY())&lt;DAY(E42))),1,0))</f>
        <v>35</v>
      </c>
    </row>
    <row r="43" spans="1:6" x14ac:dyDescent="0.3">
      <c r="A43" s="34" t="s">
        <v>678</v>
      </c>
      <c r="B43" s="34" t="s">
        <v>679</v>
      </c>
      <c r="C43" s="34" t="s">
        <v>260</v>
      </c>
      <c r="D43" s="35" t="s">
        <v>12</v>
      </c>
      <c r="E43" s="36">
        <v>35977</v>
      </c>
      <c r="F43" s="37">
        <f ca="1">IF(T_CÓDIGO[[#This Row],[FECHA DE NACIMIENTO]]="","",YEAR(TODAY())-YEAR(T_CÓDIGO[[#This Row],[FECHA DE NACIMIENTO]])-IF(OR(MONTH(TODAY())&lt;MONTH(E43),AND(MONTH(TODAY())=MONTH(E43),DAY(TODAY())&lt;DAY(E43))),1,0))</f>
        <v>26</v>
      </c>
    </row>
    <row r="44" spans="1:6" x14ac:dyDescent="0.3">
      <c r="A44" s="34" t="s">
        <v>699</v>
      </c>
      <c r="B44" s="34" t="s">
        <v>700</v>
      </c>
      <c r="C44" s="34" t="s">
        <v>260</v>
      </c>
      <c r="D44" s="35" t="s">
        <v>12</v>
      </c>
      <c r="E44" s="36">
        <v>37266</v>
      </c>
      <c r="F44" s="37">
        <f ca="1">IF(T_CÓDIGO[[#This Row],[FECHA DE NACIMIENTO]]="","",YEAR(TODAY())-YEAR(T_CÓDIGO[[#This Row],[FECHA DE NACIMIENTO]])-IF(OR(MONTH(TODAY())&lt;MONTH(E44),AND(MONTH(TODAY())=MONTH(E44),DAY(TODAY())&lt;DAY(E44))),1,0))</f>
        <v>22</v>
      </c>
    </row>
    <row r="45" spans="1:6" x14ac:dyDescent="0.3">
      <c r="A45" s="34" t="s">
        <v>109</v>
      </c>
      <c r="B45" s="34">
        <v>1004081608</v>
      </c>
      <c r="C45" s="34" t="s">
        <v>260</v>
      </c>
      <c r="D45" s="35" t="s">
        <v>12</v>
      </c>
      <c r="E45" s="36">
        <v>34556</v>
      </c>
      <c r="F45" s="37">
        <f ca="1">IF(T_CÓDIGO[[#This Row],[FECHA DE NACIMIENTO]]="","",YEAR(TODAY())-YEAR(T_CÓDIGO[[#This Row],[FECHA DE NACIMIENTO]])-IF(OR(MONTH(TODAY())&lt;MONTH(E45),AND(MONTH(TODAY())=MONTH(E45),DAY(TODAY())&lt;DAY(E45))),1,0))</f>
        <v>30</v>
      </c>
    </row>
    <row r="46" spans="1:6" x14ac:dyDescent="0.3">
      <c r="A46" s="34" t="s">
        <v>113</v>
      </c>
      <c r="B46" s="34">
        <v>1723928477</v>
      </c>
      <c r="C46" s="34" t="s">
        <v>260</v>
      </c>
      <c r="D46" s="35" t="s">
        <v>12</v>
      </c>
      <c r="E46" s="36">
        <v>34110</v>
      </c>
      <c r="F46" s="37">
        <f ca="1">IF(T_CÓDIGO[[#This Row],[FECHA DE NACIMIENTO]]="","",YEAR(TODAY())-YEAR(T_CÓDIGO[[#This Row],[FECHA DE NACIMIENTO]])-IF(OR(MONTH(TODAY())&lt;MONTH(E46),AND(MONTH(TODAY())=MONTH(E46),DAY(TODAY())&lt;DAY(E46))),1,0))</f>
        <v>31</v>
      </c>
    </row>
    <row r="47" spans="1:6" x14ac:dyDescent="0.3">
      <c r="A47" s="34" t="s">
        <v>306</v>
      </c>
      <c r="B47" s="34" t="s">
        <v>307</v>
      </c>
      <c r="C47" s="34" t="s">
        <v>271</v>
      </c>
      <c r="D47" s="35" t="s">
        <v>12</v>
      </c>
      <c r="E47" s="36">
        <v>33933</v>
      </c>
      <c r="F47" s="37">
        <f ca="1">IF(T_CÓDIGO[[#This Row],[FECHA DE NACIMIENTO]]="","",YEAR(TODAY())-YEAR(T_CÓDIGO[[#This Row],[FECHA DE NACIMIENTO]])-IF(OR(MONTH(TODAY())&lt;MONTH(E47),AND(MONTH(TODAY())=MONTH(E47),DAY(TODAY())&lt;DAY(E47))),1,0))</f>
        <v>32</v>
      </c>
    </row>
    <row r="48" spans="1:6" x14ac:dyDescent="0.3">
      <c r="A48" s="34" t="s">
        <v>60</v>
      </c>
      <c r="B48" s="34">
        <v>1004463707</v>
      </c>
      <c r="C48" s="34" t="s">
        <v>260</v>
      </c>
      <c r="D48" s="35" t="s">
        <v>12</v>
      </c>
      <c r="E48" s="36">
        <v>36899</v>
      </c>
      <c r="F48" s="37">
        <f ca="1">IF(T_CÓDIGO[[#This Row],[FECHA DE NACIMIENTO]]="","",YEAR(TODAY())-YEAR(T_CÓDIGO[[#This Row],[FECHA DE NACIMIENTO]])-IF(OR(MONTH(TODAY())&lt;MONTH(E48),AND(MONTH(TODAY())=MONTH(E48),DAY(TODAY())&lt;DAY(E48))),1,0))</f>
        <v>23</v>
      </c>
    </row>
    <row r="49" spans="1:6" x14ac:dyDescent="0.3">
      <c r="A49" s="34" t="s">
        <v>132</v>
      </c>
      <c r="B49" s="34">
        <v>1003636808</v>
      </c>
      <c r="C49" s="34" t="s">
        <v>260</v>
      </c>
      <c r="D49" s="35" t="s">
        <v>12</v>
      </c>
      <c r="E49" s="36">
        <v>36160</v>
      </c>
      <c r="F49" s="37">
        <f ca="1">IF(T_CÓDIGO[[#This Row],[FECHA DE NACIMIENTO]]="","",YEAR(TODAY())-YEAR(T_CÓDIGO[[#This Row],[FECHA DE NACIMIENTO]])-IF(OR(MONTH(TODAY())&lt;MONTH(E49),AND(MONTH(TODAY())=MONTH(E49),DAY(TODAY())&lt;DAY(E49))),1,0))</f>
        <v>25</v>
      </c>
    </row>
    <row r="50" spans="1:6" x14ac:dyDescent="0.3">
      <c r="A50" s="34" t="s">
        <v>728</v>
      </c>
      <c r="B50" s="34" t="s">
        <v>729</v>
      </c>
      <c r="C50" s="34" t="s">
        <v>260</v>
      </c>
      <c r="D50" s="35" t="s">
        <v>12</v>
      </c>
      <c r="E50" s="36">
        <v>37249</v>
      </c>
      <c r="F50" s="37">
        <f ca="1">IF(T_CÓDIGO[[#This Row],[FECHA DE NACIMIENTO]]="","",YEAR(TODAY())-YEAR(T_CÓDIGO[[#This Row],[FECHA DE NACIMIENTO]])-IF(OR(MONTH(TODAY())&lt;MONTH(E50),AND(MONTH(TODAY())=MONTH(E50),DAY(TODAY())&lt;DAY(E50))),1,0))</f>
        <v>22</v>
      </c>
    </row>
    <row r="51" spans="1:6" x14ac:dyDescent="0.3">
      <c r="A51" s="34" t="s">
        <v>110</v>
      </c>
      <c r="B51" s="34" t="s">
        <v>308</v>
      </c>
      <c r="C51" s="34" t="s">
        <v>260</v>
      </c>
      <c r="D51" s="35" t="s">
        <v>12</v>
      </c>
      <c r="E51" s="36">
        <v>34794</v>
      </c>
      <c r="F51" s="37">
        <f ca="1">IF(T_CÓDIGO[[#This Row],[FECHA DE NACIMIENTO]]="","",YEAR(TODAY())-YEAR(T_CÓDIGO[[#This Row],[FECHA DE NACIMIENTO]])-IF(OR(MONTH(TODAY())&lt;MONTH(E51),AND(MONTH(TODAY())=MONTH(E51),DAY(TODAY())&lt;DAY(E51))),1,0))</f>
        <v>29</v>
      </c>
    </row>
    <row r="52" spans="1:6" x14ac:dyDescent="0.3">
      <c r="A52" s="34" t="s">
        <v>309</v>
      </c>
      <c r="B52" s="34" t="s">
        <v>310</v>
      </c>
      <c r="C52" s="34" t="s">
        <v>260</v>
      </c>
      <c r="D52" s="35" t="s">
        <v>12</v>
      </c>
      <c r="E52" s="36">
        <v>36162</v>
      </c>
      <c r="F52" s="37">
        <f ca="1">IF(T_CÓDIGO[[#This Row],[FECHA DE NACIMIENTO]]="","",YEAR(TODAY())-YEAR(T_CÓDIGO[[#This Row],[FECHA DE NACIMIENTO]])-IF(OR(MONTH(TODAY())&lt;MONTH(E52),AND(MONTH(TODAY())=MONTH(E52),DAY(TODAY())&lt;DAY(E52))),1,0))</f>
        <v>25</v>
      </c>
    </row>
    <row r="53" spans="1:6" x14ac:dyDescent="0.3">
      <c r="A53" s="34" t="s">
        <v>130</v>
      </c>
      <c r="B53" s="34" t="s">
        <v>311</v>
      </c>
      <c r="C53" s="34" t="s">
        <v>290</v>
      </c>
      <c r="D53" s="35" t="s">
        <v>12</v>
      </c>
      <c r="E53" s="36">
        <v>36270</v>
      </c>
      <c r="F53" s="37">
        <f ca="1">IF(T_CÓDIGO[[#This Row],[FECHA DE NACIMIENTO]]="","",YEAR(TODAY())-YEAR(T_CÓDIGO[[#This Row],[FECHA DE NACIMIENTO]])-IF(OR(MONTH(TODAY())&lt;MONTH(E53),AND(MONTH(TODAY())=MONTH(E53),DAY(TODAY())&lt;DAY(E53))),1,0))</f>
        <v>25</v>
      </c>
    </row>
    <row r="54" spans="1:6" x14ac:dyDescent="0.3">
      <c r="A54" s="34" t="s">
        <v>312</v>
      </c>
      <c r="B54" s="34">
        <v>2300455546</v>
      </c>
      <c r="C54" s="34" t="s">
        <v>260</v>
      </c>
      <c r="D54" s="35" t="s">
        <v>12</v>
      </c>
      <c r="E54" s="36">
        <v>35509</v>
      </c>
      <c r="F54" s="37">
        <f ca="1">IF(T_CÓDIGO[[#This Row],[FECHA DE NACIMIENTO]]="","",YEAR(TODAY())-YEAR(T_CÓDIGO[[#This Row],[FECHA DE NACIMIENTO]])-IF(OR(MONTH(TODAY())&lt;MONTH(E54),AND(MONTH(TODAY())=MONTH(E54),DAY(TODAY())&lt;DAY(E54))),1,0))</f>
        <v>27</v>
      </c>
    </row>
    <row r="55" spans="1:6" x14ac:dyDescent="0.3">
      <c r="A55" s="34" t="s">
        <v>313</v>
      </c>
      <c r="B55" s="34" t="s">
        <v>314</v>
      </c>
      <c r="C55" s="34" t="s">
        <v>315</v>
      </c>
      <c r="D55" s="35" t="s">
        <v>12</v>
      </c>
      <c r="E55" s="36">
        <v>34379</v>
      </c>
      <c r="F55" s="37">
        <f ca="1">IF(T_CÓDIGO[[#This Row],[FECHA DE NACIMIENTO]]="","",YEAR(TODAY())-YEAR(T_CÓDIGO[[#This Row],[FECHA DE NACIMIENTO]])-IF(OR(MONTH(TODAY())&lt;MONTH(E55),AND(MONTH(TODAY())=MONTH(E55),DAY(TODAY())&lt;DAY(E55))),1,0))</f>
        <v>30</v>
      </c>
    </row>
    <row r="56" spans="1:6" x14ac:dyDescent="0.3">
      <c r="A56" s="34" t="s">
        <v>89</v>
      </c>
      <c r="B56" s="34" t="s">
        <v>316</v>
      </c>
      <c r="C56" s="34" t="s">
        <v>260</v>
      </c>
      <c r="D56" s="35" t="s">
        <v>12</v>
      </c>
      <c r="E56" s="36">
        <v>34192</v>
      </c>
      <c r="F56" s="37">
        <f ca="1">IF(T_CÓDIGO[[#This Row],[FECHA DE NACIMIENTO]]="","",YEAR(TODAY())-YEAR(T_CÓDIGO[[#This Row],[FECHA DE NACIMIENTO]])-IF(OR(MONTH(TODAY())&lt;MONTH(E56),AND(MONTH(TODAY())=MONTH(E56),DAY(TODAY())&lt;DAY(E56))),1,0))</f>
        <v>31</v>
      </c>
    </row>
    <row r="57" spans="1:6" x14ac:dyDescent="0.3">
      <c r="A57" s="34" t="s">
        <v>317</v>
      </c>
      <c r="B57" s="34">
        <v>1804031977</v>
      </c>
      <c r="C57" s="34" t="s">
        <v>277</v>
      </c>
      <c r="D57" s="35" t="s">
        <v>12</v>
      </c>
      <c r="E57" s="36">
        <v>30731</v>
      </c>
      <c r="F57" s="37">
        <f ca="1">IF(T_CÓDIGO[[#This Row],[FECHA DE NACIMIENTO]]="","",YEAR(TODAY())-YEAR(T_CÓDIGO[[#This Row],[FECHA DE NACIMIENTO]])-IF(OR(MONTH(TODAY())&lt;MONTH(E57),AND(MONTH(TODAY())=MONTH(E57),DAY(TODAY())&lt;DAY(E57))),1,0))</f>
        <v>40</v>
      </c>
    </row>
    <row r="58" spans="1:6" x14ac:dyDescent="0.3">
      <c r="A58" s="34" t="s">
        <v>318</v>
      </c>
      <c r="B58" s="34">
        <v>1716092414</v>
      </c>
      <c r="C58" s="34" t="s">
        <v>268</v>
      </c>
      <c r="D58" s="35" t="s">
        <v>12</v>
      </c>
      <c r="E58" s="36">
        <v>29514</v>
      </c>
      <c r="F58" s="37">
        <f ca="1">IF(T_CÓDIGO[[#This Row],[FECHA DE NACIMIENTO]]="","",YEAR(TODAY())-YEAR(T_CÓDIGO[[#This Row],[FECHA DE NACIMIENTO]])-IF(OR(MONTH(TODAY())&lt;MONTH(E58),AND(MONTH(TODAY())=MONTH(E58),DAY(TODAY())&lt;DAY(E58))),1,0))</f>
        <v>44</v>
      </c>
    </row>
    <row r="59" spans="1:6" x14ac:dyDescent="0.3">
      <c r="A59" s="34" t="s">
        <v>730</v>
      </c>
      <c r="B59" s="34" t="s">
        <v>731</v>
      </c>
      <c r="C59" s="34" t="s">
        <v>260</v>
      </c>
      <c r="D59" s="35" t="s">
        <v>12</v>
      </c>
      <c r="E59" s="36">
        <v>36719</v>
      </c>
      <c r="F59" s="37">
        <f ca="1">IF(T_CÓDIGO[[#This Row],[FECHA DE NACIMIENTO]]="","",YEAR(TODAY())-YEAR(T_CÓDIGO[[#This Row],[FECHA DE NACIMIENTO]])-IF(OR(MONTH(TODAY())&lt;MONTH(E59),AND(MONTH(TODAY())=MONTH(E59),DAY(TODAY())&lt;DAY(E59))),1,0))</f>
        <v>24</v>
      </c>
    </row>
    <row r="60" spans="1:6" x14ac:dyDescent="0.3">
      <c r="A60" s="34" t="s">
        <v>136</v>
      </c>
      <c r="B60" s="34">
        <v>1725698227</v>
      </c>
      <c r="C60" s="34" t="s">
        <v>260</v>
      </c>
      <c r="D60" s="35" t="s">
        <v>12</v>
      </c>
      <c r="E60" s="36">
        <v>35570</v>
      </c>
      <c r="F60" s="37">
        <f ca="1">IF(T_CÓDIGO[[#This Row],[FECHA DE NACIMIENTO]]="","",YEAR(TODAY())-YEAR(T_CÓDIGO[[#This Row],[FECHA DE NACIMIENTO]])-IF(OR(MONTH(TODAY())&lt;MONTH(E60),AND(MONTH(TODAY())=MONTH(E60),DAY(TODAY())&lt;DAY(E60))),1,0))</f>
        <v>27</v>
      </c>
    </row>
    <row r="61" spans="1:6" x14ac:dyDescent="0.3">
      <c r="A61" s="34" t="s">
        <v>320</v>
      </c>
      <c r="B61" s="34" t="s">
        <v>321</v>
      </c>
      <c r="C61" s="34" t="s">
        <v>315</v>
      </c>
      <c r="D61" s="35" t="s">
        <v>12</v>
      </c>
      <c r="E61" s="36">
        <v>38052</v>
      </c>
      <c r="F61" s="37">
        <f ca="1">IF(T_CÓDIGO[[#This Row],[FECHA DE NACIMIENTO]]="","",YEAR(TODAY())-YEAR(T_CÓDIGO[[#This Row],[FECHA DE NACIMIENTO]])-IF(OR(MONTH(TODAY())&lt;MONTH(E61),AND(MONTH(TODAY())=MONTH(E61),DAY(TODAY())&lt;DAY(E61))),1,0))</f>
        <v>20</v>
      </c>
    </row>
    <row r="62" spans="1:6" x14ac:dyDescent="0.3">
      <c r="A62" s="34" t="s">
        <v>40</v>
      </c>
      <c r="B62" s="34" t="s">
        <v>322</v>
      </c>
      <c r="C62" s="34" t="s">
        <v>315</v>
      </c>
      <c r="D62" s="35" t="s">
        <v>12</v>
      </c>
      <c r="E62" s="36">
        <v>35354</v>
      </c>
      <c r="F62" s="37">
        <f ca="1">IF(T_CÓDIGO[[#This Row],[FECHA DE NACIMIENTO]]="","",YEAR(TODAY())-YEAR(T_CÓDIGO[[#This Row],[FECHA DE NACIMIENTO]])-IF(OR(MONTH(TODAY())&lt;MONTH(E62),AND(MONTH(TODAY())=MONTH(E62),DAY(TODAY())&lt;DAY(E62))),1,0))</f>
        <v>28</v>
      </c>
    </row>
    <row r="63" spans="1:6" x14ac:dyDescent="0.3">
      <c r="A63" s="34" t="s">
        <v>323</v>
      </c>
      <c r="B63" s="34">
        <v>6103965197</v>
      </c>
      <c r="C63" s="34" t="s">
        <v>271</v>
      </c>
      <c r="D63" s="35" t="s">
        <v>12</v>
      </c>
      <c r="E63" s="36">
        <v>29546</v>
      </c>
      <c r="F63" s="37">
        <f ca="1">IF(T_CÓDIGO[[#This Row],[FECHA DE NACIMIENTO]]="","",YEAR(TODAY())-YEAR(T_CÓDIGO[[#This Row],[FECHA DE NACIMIENTO]])-IF(OR(MONTH(TODAY())&lt;MONTH(E63),AND(MONTH(TODAY())=MONTH(E63),DAY(TODAY())&lt;DAY(E63))),1,0))</f>
        <v>44</v>
      </c>
    </row>
    <row r="64" spans="1:6" x14ac:dyDescent="0.3">
      <c r="A64" s="34" t="s">
        <v>324</v>
      </c>
      <c r="B64" s="34" t="s">
        <v>325</v>
      </c>
      <c r="C64" s="34" t="s">
        <v>271</v>
      </c>
      <c r="D64" s="35" t="s">
        <v>12</v>
      </c>
      <c r="E64" s="36">
        <v>28792</v>
      </c>
      <c r="F64" s="37">
        <f ca="1">IF(T_CÓDIGO[[#This Row],[FECHA DE NACIMIENTO]]="","",YEAR(TODAY())-YEAR(T_CÓDIGO[[#This Row],[FECHA DE NACIMIENTO]])-IF(OR(MONTH(TODAY())&lt;MONTH(E64),AND(MONTH(TODAY())=MONTH(E64),DAY(TODAY())&lt;DAY(E64))),1,0))</f>
        <v>46</v>
      </c>
    </row>
    <row r="65" spans="1:6" x14ac:dyDescent="0.3">
      <c r="A65" s="34" t="s">
        <v>62</v>
      </c>
      <c r="B65" s="34" t="s">
        <v>326</v>
      </c>
      <c r="C65" s="34" t="s">
        <v>260</v>
      </c>
      <c r="D65" s="35" t="s">
        <v>12</v>
      </c>
      <c r="E65" s="36">
        <v>37189</v>
      </c>
      <c r="F65" s="37">
        <f ca="1">IF(T_CÓDIGO[[#This Row],[FECHA DE NACIMIENTO]]="","",YEAR(TODAY())-YEAR(T_CÓDIGO[[#This Row],[FECHA DE NACIMIENTO]])-IF(OR(MONTH(TODAY())&lt;MONTH(E65),AND(MONTH(TODAY())=MONTH(E65),DAY(TODAY())&lt;DAY(E65))),1,0))</f>
        <v>23</v>
      </c>
    </row>
    <row r="66" spans="1:6" x14ac:dyDescent="0.3">
      <c r="A66" s="34" t="s">
        <v>38</v>
      </c>
      <c r="B66" s="34" t="s">
        <v>327</v>
      </c>
      <c r="C66" s="34" t="s">
        <v>262</v>
      </c>
      <c r="D66" s="35" t="s">
        <v>12</v>
      </c>
      <c r="E66" s="36">
        <v>34568</v>
      </c>
      <c r="F66" s="37">
        <f ca="1">IF(T_CÓDIGO[[#This Row],[FECHA DE NACIMIENTO]]="","",YEAR(TODAY())-YEAR(T_CÓDIGO[[#This Row],[FECHA DE NACIMIENTO]])-IF(OR(MONTH(TODAY())&lt;MONTH(E66),AND(MONTH(TODAY())=MONTH(E66),DAY(TODAY())&lt;DAY(E66))),1,0))</f>
        <v>30</v>
      </c>
    </row>
    <row r="67" spans="1:6" x14ac:dyDescent="0.3">
      <c r="A67" s="34" t="s">
        <v>160</v>
      </c>
      <c r="B67" s="34" t="s">
        <v>328</v>
      </c>
      <c r="C67" s="34" t="s">
        <v>262</v>
      </c>
      <c r="D67" s="35" t="s">
        <v>12</v>
      </c>
      <c r="E67" s="36">
        <v>35334</v>
      </c>
      <c r="F67" s="37">
        <f ca="1">IF(T_CÓDIGO[[#This Row],[FECHA DE NACIMIENTO]]="","",YEAR(TODAY())-YEAR(T_CÓDIGO[[#This Row],[FECHA DE NACIMIENTO]])-IF(OR(MONTH(TODAY())&lt;MONTH(E67),AND(MONTH(TODAY())=MONTH(E67),DAY(TODAY())&lt;DAY(E67))),1,0))</f>
        <v>28</v>
      </c>
    </row>
    <row r="68" spans="1:6" x14ac:dyDescent="0.3">
      <c r="A68" s="34" t="s">
        <v>732</v>
      </c>
      <c r="B68" s="34" t="s">
        <v>329</v>
      </c>
      <c r="C68" s="34" t="s">
        <v>260</v>
      </c>
      <c r="D68" s="35" t="s">
        <v>12</v>
      </c>
      <c r="E68" s="36">
        <v>37206</v>
      </c>
      <c r="F68" s="37">
        <f ca="1">IF(T_CÓDIGO[[#This Row],[FECHA DE NACIMIENTO]]="","",YEAR(TODAY())-YEAR(T_CÓDIGO[[#This Row],[FECHA DE NACIMIENTO]])-IF(OR(MONTH(TODAY())&lt;MONTH(E68),AND(MONTH(TODAY())=MONTH(E68),DAY(TODAY())&lt;DAY(E68))),1,0))</f>
        <v>23</v>
      </c>
    </row>
    <row r="69" spans="1:6" x14ac:dyDescent="0.3">
      <c r="A69" s="34" t="s">
        <v>330</v>
      </c>
      <c r="B69" s="34" t="s">
        <v>331</v>
      </c>
      <c r="C69" s="34" t="s">
        <v>279</v>
      </c>
      <c r="D69" s="35" t="s">
        <v>12</v>
      </c>
      <c r="E69" s="36">
        <v>34109</v>
      </c>
      <c r="F69" s="37">
        <f ca="1">IF(T_CÓDIGO[[#This Row],[FECHA DE NACIMIENTO]]="","",YEAR(TODAY())-YEAR(T_CÓDIGO[[#This Row],[FECHA DE NACIMIENTO]])-IF(OR(MONTH(TODAY())&lt;MONTH(E69),AND(MONTH(TODAY())=MONTH(E69),DAY(TODAY())&lt;DAY(E69))),1,0))</f>
        <v>31</v>
      </c>
    </row>
    <row r="70" spans="1:6" x14ac:dyDescent="0.3">
      <c r="A70" s="34" t="s">
        <v>332</v>
      </c>
      <c r="B70" s="34" t="s">
        <v>333</v>
      </c>
      <c r="C70" s="34" t="s">
        <v>262</v>
      </c>
      <c r="D70" s="35" t="s">
        <v>12</v>
      </c>
      <c r="E70" s="36">
        <v>35150</v>
      </c>
      <c r="F70" s="37">
        <f ca="1">IF(T_CÓDIGO[[#This Row],[FECHA DE NACIMIENTO]]="","",YEAR(TODAY())-YEAR(T_CÓDIGO[[#This Row],[FECHA DE NACIMIENTO]])-IF(OR(MONTH(TODAY())&lt;MONTH(E70),AND(MONTH(TODAY())=MONTH(E70),DAY(TODAY())&lt;DAY(E70))),1,0))</f>
        <v>28</v>
      </c>
    </row>
    <row r="71" spans="1:6" x14ac:dyDescent="0.3">
      <c r="A71" s="34" t="s">
        <v>334</v>
      </c>
      <c r="B71" s="34" t="s">
        <v>335</v>
      </c>
      <c r="C71" s="34" t="s">
        <v>262</v>
      </c>
      <c r="D71" s="35" t="s">
        <v>12</v>
      </c>
      <c r="E71" s="36" t="s">
        <v>336</v>
      </c>
      <c r="F71" s="37">
        <f ca="1">IF(T_CÓDIGO[[#This Row],[FECHA DE NACIMIENTO]]="","",YEAR(TODAY())-YEAR(T_CÓDIGO[[#This Row],[FECHA DE NACIMIENTO]])-IF(OR(MONTH(TODAY())&lt;MONTH(E71),AND(MONTH(TODAY())=MONTH(E71),DAY(TODAY())&lt;DAY(E71))),1,0))</f>
        <v>31</v>
      </c>
    </row>
    <row r="72" spans="1:6" x14ac:dyDescent="0.3">
      <c r="A72" s="34" t="s">
        <v>337</v>
      </c>
      <c r="B72" s="34">
        <v>1755013241</v>
      </c>
      <c r="C72" s="34" t="s">
        <v>260</v>
      </c>
      <c r="D72" s="35" t="s">
        <v>12</v>
      </c>
      <c r="E72" s="36">
        <v>34910</v>
      </c>
      <c r="F72" s="37">
        <f ca="1">IF(T_CÓDIGO[[#This Row],[FECHA DE NACIMIENTO]]="","",YEAR(TODAY())-YEAR(T_CÓDIGO[[#This Row],[FECHA DE NACIMIENTO]])-IF(OR(MONTH(TODAY())&lt;MONTH(E72),AND(MONTH(TODAY())=MONTH(E72),DAY(TODAY())&lt;DAY(E72))),1,0))</f>
        <v>29</v>
      </c>
    </row>
    <row r="73" spans="1:6" x14ac:dyDescent="0.3">
      <c r="A73" s="34" t="s">
        <v>733</v>
      </c>
      <c r="B73" s="34" t="s">
        <v>734</v>
      </c>
      <c r="C73" s="34" t="s">
        <v>260</v>
      </c>
      <c r="D73" s="35" t="s">
        <v>12</v>
      </c>
      <c r="E73" s="36">
        <v>35507</v>
      </c>
      <c r="F73" s="37">
        <f ca="1">IF(T_CÓDIGO[[#This Row],[FECHA DE NACIMIENTO]]="","",YEAR(TODAY())-YEAR(T_CÓDIGO[[#This Row],[FECHA DE NACIMIENTO]])-IF(OR(MONTH(TODAY())&lt;MONTH(E73),AND(MONTH(TODAY())=MONTH(E73),DAY(TODAY())&lt;DAY(E73))),1,0))</f>
        <v>27</v>
      </c>
    </row>
    <row r="74" spans="1:6" x14ac:dyDescent="0.3">
      <c r="A74" s="34" t="s">
        <v>338</v>
      </c>
      <c r="B74" s="34" t="s">
        <v>339</v>
      </c>
      <c r="C74" s="34" t="s">
        <v>340</v>
      </c>
      <c r="D74" s="35" t="s">
        <v>12</v>
      </c>
      <c r="E74" s="36">
        <v>34169</v>
      </c>
      <c r="F74" s="37">
        <f ca="1">IF(T_CÓDIGO[[#This Row],[FECHA DE NACIMIENTO]]="","",YEAR(TODAY())-YEAR(T_CÓDIGO[[#This Row],[FECHA DE NACIMIENTO]])-IF(OR(MONTH(TODAY())&lt;MONTH(E74),AND(MONTH(TODAY())=MONTH(E74),DAY(TODAY())&lt;DAY(E74))),1,0))</f>
        <v>31</v>
      </c>
    </row>
    <row r="75" spans="1:6" x14ac:dyDescent="0.3">
      <c r="A75" s="34" t="s">
        <v>735</v>
      </c>
      <c r="B75" s="34" t="s">
        <v>736</v>
      </c>
      <c r="C75" s="34" t="s">
        <v>260</v>
      </c>
      <c r="D75" s="35" t="s">
        <v>12</v>
      </c>
      <c r="E75" s="36">
        <v>37330</v>
      </c>
      <c r="F75" s="37">
        <f ca="1">IF(T_CÓDIGO[[#This Row],[FECHA DE NACIMIENTO]]="","",YEAR(TODAY())-YEAR(T_CÓDIGO[[#This Row],[FECHA DE NACIMIENTO]])-IF(OR(MONTH(TODAY())&lt;MONTH(E75),AND(MONTH(TODAY())=MONTH(E75),DAY(TODAY())&lt;DAY(E75))),1,0))</f>
        <v>22</v>
      </c>
    </row>
    <row r="76" spans="1:6" x14ac:dyDescent="0.3">
      <c r="A76" s="34" t="s">
        <v>341</v>
      </c>
      <c r="B76" s="34">
        <v>1105418071</v>
      </c>
      <c r="C76" s="34" t="s">
        <v>262</v>
      </c>
      <c r="D76" s="35" t="s">
        <v>12</v>
      </c>
      <c r="E76" s="36">
        <v>37457</v>
      </c>
      <c r="F76" s="37">
        <f ca="1">IF(T_CÓDIGO[[#This Row],[FECHA DE NACIMIENTO]]="","",YEAR(TODAY())-YEAR(T_CÓDIGO[[#This Row],[FECHA DE NACIMIENTO]])-IF(OR(MONTH(TODAY())&lt;MONTH(E76),AND(MONTH(TODAY())=MONTH(E76),DAY(TODAY())&lt;DAY(E76))),1,0))</f>
        <v>22</v>
      </c>
    </row>
    <row r="77" spans="1:6" x14ac:dyDescent="0.3">
      <c r="A77" s="34" t="s">
        <v>342</v>
      </c>
      <c r="B77" s="34">
        <v>1105418048</v>
      </c>
      <c r="C77" s="34" t="s">
        <v>262</v>
      </c>
      <c r="D77" s="35" t="s">
        <v>12</v>
      </c>
      <c r="E77" s="36">
        <v>38367</v>
      </c>
      <c r="F77" s="37">
        <f ca="1">IF(T_CÓDIGO[[#This Row],[FECHA DE NACIMIENTO]]="","",YEAR(TODAY())-YEAR(T_CÓDIGO[[#This Row],[FECHA DE NACIMIENTO]])-IF(OR(MONTH(TODAY())&lt;MONTH(E77),AND(MONTH(TODAY())=MONTH(E77),DAY(TODAY())&lt;DAY(E77))),1,0))</f>
        <v>19</v>
      </c>
    </row>
    <row r="78" spans="1:6" x14ac:dyDescent="0.3">
      <c r="A78" s="34" t="s">
        <v>343</v>
      </c>
      <c r="B78" s="34">
        <v>1102218557</v>
      </c>
      <c r="C78" s="34" t="s">
        <v>262</v>
      </c>
      <c r="D78" s="35" t="s">
        <v>12</v>
      </c>
      <c r="E78" s="36">
        <v>22564</v>
      </c>
      <c r="F78" s="37">
        <f ca="1">IF(T_CÓDIGO[[#This Row],[FECHA DE NACIMIENTO]]="","",YEAR(TODAY())-YEAR(T_CÓDIGO[[#This Row],[FECHA DE NACIMIENTO]])-IF(OR(MONTH(TODAY())&lt;MONTH(E78),AND(MONTH(TODAY())=MONTH(E78),DAY(TODAY())&lt;DAY(E78))),1,0))</f>
        <v>63</v>
      </c>
    </row>
    <row r="79" spans="1:6" x14ac:dyDescent="0.3">
      <c r="A79" s="34" t="s">
        <v>344</v>
      </c>
      <c r="B79" s="34">
        <v>1900598325</v>
      </c>
      <c r="C79" s="34" t="s">
        <v>271</v>
      </c>
      <c r="D79" s="35" t="s">
        <v>12</v>
      </c>
      <c r="E79" s="36">
        <v>32929</v>
      </c>
      <c r="F79" s="37">
        <f ca="1">IF(T_CÓDIGO[[#This Row],[FECHA DE NACIMIENTO]]="","",YEAR(TODAY())-YEAR(T_CÓDIGO[[#This Row],[FECHA DE NACIMIENTO]])-IF(OR(MONTH(TODAY())&lt;MONTH(E79),AND(MONTH(TODAY())=MONTH(E79),DAY(TODAY())&lt;DAY(E79))),1,0))</f>
        <v>34</v>
      </c>
    </row>
    <row r="80" spans="1:6" x14ac:dyDescent="0.3">
      <c r="A80" s="34" t="s">
        <v>737</v>
      </c>
      <c r="B80" s="34" t="s">
        <v>738</v>
      </c>
      <c r="C80" s="34" t="s">
        <v>260</v>
      </c>
      <c r="D80" s="35" t="s">
        <v>12</v>
      </c>
      <c r="E80" s="36">
        <v>38087</v>
      </c>
      <c r="F80" s="37">
        <f ca="1">IF(T_CÓDIGO[[#This Row],[FECHA DE NACIMIENTO]]="","",YEAR(TODAY())-YEAR(T_CÓDIGO[[#This Row],[FECHA DE NACIMIENTO]])-IF(OR(MONTH(TODAY())&lt;MONTH(E80),AND(MONTH(TODAY())=MONTH(E80),DAY(TODAY())&lt;DAY(E80))),1,0))</f>
        <v>20</v>
      </c>
    </row>
    <row r="81" spans="1:6" x14ac:dyDescent="0.3">
      <c r="A81" s="34" t="s">
        <v>687</v>
      </c>
      <c r="B81" s="34" t="s">
        <v>688</v>
      </c>
      <c r="C81" s="34" t="s">
        <v>278</v>
      </c>
      <c r="D81" s="35" t="s">
        <v>12</v>
      </c>
      <c r="E81" s="36">
        <v>34725</v>
      </c>
      <c r="F81" s="37">
        <f ca="1">IF(T_CÓDIGO[[#This Row],[FECHA DE NACIMIENTO]]="","",YEAR(TODAY())-YEAR(T_CÓDIGO[[#This Row],[FECHA DE NACIMIENTO]])-IF(OR(MONTH(TODAY())&lt;MONTH(E81),AND(MONTH(TODAY())=MONTH(E81),DAY(TODAY())&lt;DAY(E81))),1,0))</f>
        <v>29</v>
      </c>
    </row>
    <row r="82" spans="1:6" x14ac:dyDescent="0.3">
      <c r="A82" s="34" t="s">
        <v>51</v>
      </c>
      <c r="B82" s="34" t="s">
        <v>345</v>
      </c>
      <c r="C82" s="34" t="s">
        <v>278</v>
      </c>
      <c r="D82" s="35" t="s">
        <v>24</v>
      </c>
      <c r="E82" s="36">
        <v>35171</v>
      </c>
      <c r="F82" s="37">
        <f ca="1">IF(T_CÓDIGO[[#This Row],[FECHA DE NACIMIENTO]]="","",YEAR(TODAY())-YEAR(T_CÓDIGO[[#This Row],[FECHA DE NACIMIENTO]])-IF(OR(MONTH(TODAY())&lt;MONTH(E82),AND(MONTH(TODAY())=MONTH(E82),DAY(TODAY())&lt;DAY(E82))),1,0))</f>
        <v>28</v>
      </c>
    </row>
    <row r="83" spans="1:6" x14ac:dyDescent="0.3">
      <c r="A83" s="34" t="s">
        <v>346</v>
      </c>
      <c r="B83" s="34">
        <v>1103610208</v>
      </c>
      <c r="C83" s="34" t="s">
        <v>262</v>
      </c>
      <c r="D83" s="35" t="s">
        <v>12</v>
      </c>
      <c r="E83" s="36">
        <v>28748</v>
      </c>
      <c r="F83" s="37">
        <f ca="1">IF(T_CÓDIGO[[#This Row],[FECHA DE NACIMIENTO]]="","",YEAR(TODAY())-YEAR(T_CÓDIGO[[#This Row],[FECHA DE NACIMIENTO]])-IF(OR(MONTH(TODAY())&lt;MONTH(E83),AND(MONTH(TODAY())=MONTH(E83),DAY(TODAY())&lt;DAY(E83))),1,0))</f>
        <v>46</v>
      </c>
    </row>
    <row r="84" spans="1:6" x14ac:dyDescent="0.3">
      <c r="A84" s="34" t="s">
        <v>347</v>
      </c>
      <c r="B84" s="34">
        <v>1750924878</v>
      </c>
      <c r="C84" s="34" t="s">
        <v>431</v>
      </c>
      <c r="D84" s="35" t="s">
        <v>24</v>
      </c>
      <c r="E84" s="36">
        <v>36884</v>
      </c>
      <c r="F84" s="37">
        <f ca="1">IF(T_CÓDIGO[[#This Row],[FECHA DE NACIMIENTO]]="","",YEAR(TODAY())-YEAR(T_CÓDIGO[[#This Row],[FECHA DE NACIMIENTO]])-IF(OR(MONTH(TODAY())&lt;MONTH(E84),AND(MONTH(TODAY())=MONTH(E84),DAY(TODAY())&lt;DAY(E84))),1,0))</f>
        <v>23</v>
      </c>
    </row>
    <row r="85" spans="1:6" x14ac:dyDescent="0.3">
      <c r="A85" s="34" t="s">
        <v>69</v>
      </c>
      <c r="B85" s="34">
        <v>1724738883</v>
      </c>
      <c r="C85" s="34" t="s">
        <v>278</v>
      </c>
      <c r="D85" s="35" t="s">
        <v>24</v>
      </c>
      <c r="E85" s="36">
        <v>35143</v>
      </c>
      <c r="F85" s="37">
        <f ca="1">IF(T_CÓDIGO[[#This Row],[FECHA DE NACIMIENTO]]="","",YEAR(TODAY())-YEAR(T_CÓDIGO[[#This Row],[FECHA DE NACIMIENTO]])-IF(OR(MONTH(TODAY())&lt;MONTH(E85),AND(MONTH(TODAY())=MONTH(E85),DAY(TODAY())&lt;DAY(E85))),1,0))</f>
        <v>28</v>
      </c>
    </row>
    <row r="86" spans="1:6" x14ac:dyDescent="0.3">
      <c r="A86" s="34" t="s">
        <v>349</v>
      </c>
      <c r="B86" s="34" t="s">
        <v>350</v>
      </c>
      <c r="C86" s="34" t="s">
        <v>315</v>
      </c>
      <c r="D86" s="35" t="s">
        <v>12</v>
      </c>
      <c r="E86" s="36">
        <v>37269</v>
      </c>
      <c r="F86" s="37">
        <f ca="1">IF(T_CÓDIGO[[#This Row],[FECHA DE NACIMIENTO]]="","",YEAR(TODAY())-YEAR(T_CÓDIGO[[#This Row],[FECHA DE NACIMIENTO]])-IF(OR(MONTH(TODAY())&lt;MONTH(E86),AND(MONTH(TODAY())=MONTH(E86),DAY(TODAY())&lt;DAY(E86))),1,0))</f>
        <v>22</v>
      </c>
    </row>
    <row r="87" spans="1:6" x14ac:dyDescent="0.3">
      <c r="A87" s="34" t="s">
        <v>705</v>
      </c>
      <c r="B87" s="34" t="s">
        <v>706</v>
      </c>
      <c r="C87" s="34" t="s">
        <v>260</v>
      </c>
      <c r="D87" s="35" t="s">
        <v>12</v>
      </c>
      <c r="E87" s="36">
        <v>37223</v>
      </c>
      <c r="F87" s="37">
        <f ca="1">IF(T_CÓDIGO[[#This Row],[FECHA DE NACIMIENTO]]="","",YEAR(TODAY())-YEAR(T_CÓDIGO[[#This Row],[FECHA DE NACIMIENTO]])-IF(OR(MONTH(TODAY())&lt;MONTH(E87),AND(MONTH(TODAY())=MONTH(E87),DAY(TODAY())&lt;DAY(E87))),1,0))</f>
        <v>23</v>
      </c>
    </row>
    <row r="88" spans="1:6" x14ac:dyDescent="0.3">
      <c r="A88" s="34" t="s">
        <v>351</v>
      </c>
      <c r="B88" s="34">
        <v>2351056904</v>
      </c>
      <c r="C88" s="34" t="s">
        <v>260</v>
      </c>
      <c r="D88" s="35" t="s">
        <v>12</v>
      </c>
      <c r="E88" s="36">
        <v>38081</v>
      </c>
      <c r="F88" s="37">
        <f ca="1">IF(T_CÓDIGO[[#This Row],[FECHA DE NACIMIENTO]]="","",YEAR(TODAY())-YEAR(T_CÓDIGO[[#This Row],[FECHA DE NACIMIENTO]])-IF(OR(MONTH(TODAY())&lt;MONTH(E88),AND(MONTH(TODAY())=MONTH(E88),DAY(TODAY())&lt;DAY(E88))),1,0))</f>
        <v>20</v>
      </c>
    </row>
    <row r="89" spans="1:6" x14ac:dyDescent="0.3">
      <c r="A89" s="34" t="s">
        <v>125</v>
      </c>
      <c r="B89" s="34" t="s">
        <v>406</v>
      </c>
      <c r="C89" s="34" t="s">
        <v>276</v>
      </c>
      <c r="D89" s="35" t="s">
        <v>12</v>
      </c>
      <c r="E89" s="36">
        <v>34921</v>
      </c>
      <c r="F89" s="37">
        <f ca="1">IF(T_CÓDIGO[[#This Row],[FECHA DE NACIMIENTO]]="","",YEAR(TODAY())-YEAR(T_CÓDIGO[[#This Row],[FECHA DE NACIMIENTO]])-IF(OR(MONTH(TODAY())&lt;MONTH(E89),AND(MONTH(TODAY())=MONTH(E89),DAY(TODAY())&lt;DAY(E89))),1,0))</f>
        <v>29</v>
      </c>
    </row>
    <row r="90" spans="1:6" x14ac:dyDescent="0.3">
      <c r="A90" s="34" t="s">
        <v>78</v>
      </c>
      <c r="B90" s="34" t="s">
        <v>353</v>
      </c>
      <c r="C90" s="34" t="s">
        <v>315</v>
      </c>
      <c r="D90" s="35" t="s">
        <v>12</v>
      </c>
      <c r="E90" s="36">
        <v>37263</v>
      </c>
      <c r="F90" s="37">
        <f ca="1">IF(T_CÓDIGO[[#This Row],[FECHA DE NACIMIENTO]]="","",YEAR(TODAY())-YEAR(T_CÓDIGO[[#This Row],[FECHA DE NACIMIENTO]])-IF(OR(MONTH(TODAY())&lt;MONTH(E90),AND(MONTH(TODAY())=MONTH(E90),DAY(TODAY())&lt;DAY(E90))),1,0))</f>
        <v>22</v>
      </c>
    </row>
    <row r="91" spans="1:6" x14ac:dyDescent="0.3">
      <c r="A91" s="34" t="s">
        <v>354</v>
      </c>
      <c r="B91" s="34" t="s">
        <v>355</v>
      </c>
      <c r="C91" s="34" t="s">
        <v>262</v>
      </c>
      <c r="D91" s="35" t="s">
        <v>12</v>
      </c>
      <c r="E91" s="36">
        <v>35406</v>
      </c>
      <c r="F91" s="37">
        <f ca="1">IF(T_CÓDIGO[[#This Row],[FECHA DE NACIMIENTO]]="","",YEAR(TODAY())-YEAR(T_CÓDIGO[[#This Row],[FECHA DE NACIMIENTO]])-IF(OR(MONTH(TODAY())&lt;MONTH(E91),AND(MONTH(TODAY())=MONTH(E91),DAY(TODAY())&lt;DAY(E91))),1,0))</f>
        <v>28</v>
      </c>
    </row>
    <row r="92" spans="1:6" x14ac:dyDescent="0.3">
      <c r="A92" s="34" t="s">
        <v>356</v>
      </c>
      <c r="B92" s="34" t="s">
        <v>357</v>
      </c>
      <c r="C92" s="34" t="s">
        <v>262</v>
      </c>
      <c r="D92" s="35" t="s">
        <v>12</v>
      </c>
      <c r="E92" s="36">
        <v>36396</v>
      </c>
      <c r="F92" s="37">
        <f ca="1">IF(T_CÓDIGO[[#This Row],[FECHA DE NACIMIENTO]]="","",YEAR(TODAY())-YEAR(T_CÓDIGO[[#This Row],[FECHA DE NACIMIENTO]])-IF(OR(MONTH(TODAY())&lt;MONTH(E92),AND(MONTH(TODAY())=MONTH(E92),DAY(TODAY())&lt;DAY(E92))),1,0))</f>
        <v>25</v>
      </c>
    </row>
    <row r="93" spans="1:6" x14ac:dyDescent="0.3">
      <c r="A93" s="34" t="s">
        <v>83</v>
      </c>
      <c r="B93" s="34" t="s">
        <v>358</v>
      </c>
      <c r="C93" s="34" t="s">
        <v>315</v>
      </c>
      <c r="D93" s="35" t="s">
        <v>12</v>
      </c>
      <c r="E93" s="36">
        <v>32996</v>
      </c>
      <c r="F93" s="37">
        <f ca="1">IF(T_CÓDIGO[[#This Row],[FECHA DE NACIMIENTO]]="","",YEAR(TODAY())-YEAR(T_CÓDIGO[[#This Row],[FECHA DE NACIMIENTO]])-IF(OR(MONTH(TODAY())&lt;MONTH(E93),AND(MONTH(TODAY())=MONTH(E93),DAY(TODAY())&lt;DAY(E93))),1,0))</f>
        <v>34</v>
      </c>
    </row>
    <row r="94" spans="1:6" x14ac:dyDescent="0.3">
      <c r="A94" s="34" t="s">
        <v>359</v>
      </c>
      <c r="B94" s="34" t="s">
        <v>352</v>
      </c>
      <c r="C94" s="34" t="s">
        <v>262</v>
      </c>
      <c r="D94" s="35" t="s">
        <v>12</v>
      </c>
      <c r="E94" s="36">
        <v>32436</v>
      </c>
      <c r="F94" s="37">
        <f ca="1">IF(T_CÓDIGO[[#This Row],[FECHA DE NACIMIENTO]]="","",YEAR(TODAY())-YEAR(T_CÓDIGO[[#This Row],[FECHA DE NACIMIENTO]])-IF(OR(MONTH(TODAY())&lt;MONTH(E94),AND(MONTH(TODAY())=MONTH(E94),DAY(TODAY())&lt;DAY(E94))),1,0))</f>
        <v>36</v>
      </c>
    </row>
    <row r="95" spans="1:6" x14ac:dyDescent="0.3">
      <c r="A95" s="34" t="s">
        <v>360</v>
      </c>
      <c r="B95" s="34">
        <v>2350120446</v>
      </c>
      <c r="C95" s="34" t="s">
        <v>260</v>
      </c>
      <c r="D95" s="35" t="s">
        <v>12</v>
      </c>
      <c r="E95" s="36">
        <v>33923</v>
      </c>
      <c r="F95" s="37">
        <f ca="1">IF(T_CÓDIGO[[#This Row],[FECHA DE NACIMIENTO]]="","",YEAR(TODAY())-YEAR(T_CÓDIGO[[#This Row],[FECHA DE NACIMIENTO]])-IF(OR(MONTH(TODAY())&lt;MONTH(E95),AND(MONTH(TODAY())=MONTH(E95),DAY(TODAY())&lt;DAY(E95))),1,0))</f>
        <v>32</v>
      </c>
    </row>
    <row r="96" spans="1:6" x14ac:dyDescent="0.3">
      <c r="A96" s="34" t="s">
        <v>361</v>
      </c>
      <c r="B96" s="34" t="s">
        <v>362</v>
      </c>
      <c r="C96" s="34" t="s">
        <v>260</v>
      </c>
      <c r="D96" s="35" t="s">
        <v>12</v>
      </c>
      <c r="E96" s="36">
        <v>33984</v>
      </c>
      <c r="F96" s="37">
        <f ca="1">IF(T_CÓDIGO[[#This Row],[FECHA DE NACIMIENTO]]="","",YEAR(TODAY())-YEAR(T_CÓDIGO[[#This Row],[FECHA DE NACIMIENTO]])-IF(OR(MONTH(TODAY())&lt;MONTH(E96),AND(MONTH(TODAY())=MONTH(E96),DAY(TODAY())&lt;DAY(E96))),1,0))</f>
        <v>31</v>
      </c>
    </row>
    <row r="97" spans="1:6" x14ac:dyDescent="0.3">
      <c r="A97" s="34" t="s">
        <v>739</v>
      </c>
      <c r="B97" s="34" t="s">
        <v>740</v>
      </c>
      <c r="C97" s="34" t="s">
        <v>279</v>
      </c>
      <c r="D97" s="35" t="s">
        <v>12</v>
      </c>
      <c r="E97" s="36">
        <v>35536</v>
      </c>
      <c r="F97" s="37">
        <f ca="1">IF(T_CÓDIGO[[#This Row],[FECHA DE NACIMIENTO]]="","",YEAR(TODAY())-YEAR(T_CÓDIGO[[#This Row],[FECHA DE NACIMIENTO]])-IF(OR(MONTH(TODAY())&lt;MONTH(E97),AND(MONTH(TODAY())=MONTH(E97),DAY(TODAY())&lt;DAY(E97))),1,0))</f>
        <v>27</v>
      </c>
    </row>
    <row r="98" spans="1:6" x14ac:dyDescent="0.3">
      <c r="A98" s="34" t="s">
        <v>363</v>
      </c>
      <c r="B98" s="34" t="s">
        <v>364</v>
      </c>
      <c r="C98" s="34" t="s">
        <v>268</v>
      </c>
      <c r="D98" s="35" t="s">
        <v>12</v>
      </c>
      <c r="E98" s="36">
        <v>28233</v>
      </c>
      <c r="F98" s="37">
        <f ca="1">IF(T_CÓDIGO[[#This Row],[FECHA DE NACIMIENTO]]="","",YEAR(TODAY())-YEAR(T_CÓDIGO[[#This Row],[FECHA DE NACIMIENTO]])-IF(OR(MONTH(TODAY())&lt;MONTH(E98),AND(MONTH(TODAY())=MONTH(E98),DAY(TODAY())&lt;DAY(E98))),1,0))</f>
        <v>47</v>
      </c>
    </row>
    <row r="99" spans="1:6" x14ac:dyDescent="0.3">
      <c r="A99" s="34" t="s">
        <v>88</v>
      </c>
      <c r="B99" s="34">
        <v>6103146871</v>
      </c>
      <c r="C99" s="34" t="s">
        <v>268</v>
      </c>
      <c r="D99" s="35" t="s">
        <v>12</v>
      </c>
      <c r="E99" s="36">
        <v>28233</v>
      </c>
      <c r="F99" s="37">
        <f ca="1">IF(T_CÓDIGO[[#This Row],[FECHA DE NACIMIENTO]]="","",YEAR(TODAY())-YEAR(T_CÓDIGO[[#This Row],[FECHA DE NACIMIENTO]])-IF(OR(MONTH(TODAY())&lt;MONTH(E99),AND(MONTH(TODAY())=MONTH(E99),DAY(TODAY())&lt;DAY(E99))),1,0))</f>
        <v>47</v>
      </c>
    </row>
    <row r="100" spans="1:6" x14ac:dyDescent="0.3">
      <c r="A100" s="34" t="s">
        <v>741</v>
      </c>
      <c r="B100" s="34" t="s">
        <v>742</v>
      </c>
      <c r="C100" s="34" t="s">
        <v>260</v>
      </c>
      <c r="D100" s="35" t="s">
        <v>12</v>
      </c>
      <c r="E100" s="36">
        <v>34111</v>
      </c>
      <c r="F100" s="37">
        <f ca="1">IF(T_CÓDIGO[[#This Row],[FECHA DE NACIMIENTO]]="","",YEAR(TODAY())-YEAR(T_CÓDIGO[[#This Row],[FECHA DE NACIMIENTO]])-IF(OR(MONTH(TODAY())&lt;MONTH(E100),AND(MONTH(TODAY())=MONTH(E100),DAY(TODAY())&lt;DAY(E100))),1,0))</f>
        <v>31</v>
      </c>
    </row>
    <row r="101" spans="1:6" x14ac:dyDescent="0.3">
      <c r="A101" s="34" t="s">
        <v>743</v>
      </c>
      <c r="B101" s="34" t="s">
        <v>744</v>
      </c>
      <c r="C101" s="34" t="s">
        <v>268</v>
      </c>
      <c r="D101" s="35" t="s">
        <v>12</v>
      </c>
      <c r="E101" s="36" t="s">
        <v>745</v>
      </c>
      <c r="F101" s="37">
        <f ca="1">IF(T_CÓDIGO[[#This Row],[FECHA DE NACIMIENTO]]="","",YEAR(TODAY())-YEAR(T_CÓDIGO[[#This Row],[FECHA DE NACIMIENTO]])-IF(OR(MONTH(TODAY())&lt;MONTH(E101),AND(MONTH(TODAY())=MONTH(E101),DAY(TODAY())&lt;DAY(E101))),1,0))</f>
        <v>39</v>
      </c>
    </row>
    <row r="102" spans="1:6" x14ac:dyDescent="0.3">
      <c r="A102" s="34" t="s">
        <v>365</v>
      </c>
      <c r="B102" s="34">
        <v>1718976366</v>
      </c>
      <c r="C102" s="34" t="s">
        <v>366</v>
      </c>
      <c r="D102" s="35" t="s">
        <v>24</v>
      </c>
      <c r="E102" s="36">
        <v>30751</v>
      </c>
      <c r="F102" s="37">
        <f ca="1">IF(T_CÓDIGO[[#This Row],[FECHA DE NACIMIENTO]]="","",YEAR(TODAY())-YEAR(T_CÓDIGO[[#This Row],[FECHA DE NACIMIENTO]])-IF(OR(MONTH(TODAY())&lt;MONTH(E102),AND(MONTH(TODAY())=MONTH(E102),DAY(TODAY())&lt;DAY(E102))),1,0))</f>
        <v>40</v>
      </c>
    </row>
    <row r="103" spans="1:6" x14ac:dyDescent="0.3">
      <c r="A103" s="34" t="s">
        <v>27</v>
      </c>
      <c r="B103" s="34" t="s">
        <v>367</v>
      </c>
      <c r="C103" s="34" t="s">
        <v>278</v>
      </c>
      <c r="D103" s="35" t="s">
        <v>12</v>
      </c>
      <c r="E103" s="36">
        <v>34414</v>
      </c>
      <c r="F103" s="37">
        <f ca="1">IF(T_CÓDIGO[[#This Row],[FECHA DE NACIMIENTO]]="","",YEAR(TODAY())-YEAR(T_CÓDIGO[[#This Row],[FECHA DE NACIMIENTO]])-IF(OR(MONTH(TODAY())&lt;MONTH(E103),AND(MONTH(TODAY())=MONTH(E103),DAY(TODAY())&lt;DAY(E103))),1,0))</f>
        <v>30</v>
      </c>
    </row>
    <row r="104" spans="1:6" x14ac:dyDescent="0.3">
      <c r="A104" s="34" t="s">
        <v>100</v>
      </c>
      <c r="B104" s="34">
        <v>1721032116</v>
      </c>
      <c r="C104" s="34" t="s">
        <v>278</v>
      </c>
      <c r="D104" s="35" t="s">
        <v>12</v>
      </c>
      <c r="E104" s="36">
        <v>34654</v>
      </c>
      <c r="F104" s="37">
        <f ca="1">IF(T_CÓDIGO[[#This Row],[FECHA DE NACIMIENTO]]="","",YEAR(TODAY())-YEAR(T_CÓDIGO[[#This Row],[FECHA DE NACIMIENTO]])-IF(OR(MONTH(TODAY())&lt;MONTH(E104),AND(MONTH(TODAY())=MONTH(E104),DAY(TODAY())&lt;DAY(E104))),1,0))</f>
        <v>30</v>
      </c>
    </row>
    <row r="105" spans="1:6" x14ac:dyDescent="0.3">
      <c r="A105" s="34" t="s">
        <v>746</v>
      </c>
      <c r="B105" s="34" t="s">
        <v>747</v>
      </c>
      <c r="C105" s="34" t="s">
        <v>260</v>
      </c>
      <c r="D105" s="35" t="s">
        <v>12</v>
      </c>
      <c r="E105" s="36">
        <v>37730</v>
      </c>
      <c r="F105" s="37">
        <f ca="1">IF(T_CÓDIGO[[#This Row],[FECHA DE NACIMIENTO]]="","",YEAR(TODAY())-YEAR(T_CÓDIGO[[#This Row],[FECHA DE NACIMIENTO]])-IF(OR(MONTH(TODAY())&lt;MONTH(E105),AND(MONTH(TODAY())=MONTH(E105),DAY(TODAY())&lt;DAY(E105))),1,0))</f>
        <v>21</v>
      </c>
    </row>
    <row r="106" spans="1:6" x14ac:dyDescent="0.3">
      <c r="A106" s="34" t="s">
        <v>127</v>
      </c>
      <c r="B106" s="34">
        <v>1206116970</v>
      </c>
      <c r="C106" s="34" t="s">
        <v>260</v>
      </c>
      <c r="D106" s="35" t="s">
        <v>12</v>
      </c>
      <c r="E106" s="36">
        <v>31707</v>
      </c>
      <c r="F106" s="37">
        <f ca="1">IF(T_CÓDIGO[[#This Row],[FECHA DE NACIMIENTO]]="","",YEAR(TODAY())-YEAR(T_CÓDIGO[[#This Row],[FECHA DE NACIMIENTO]])-IF(OR(MONTH(TODAY())&lt;MONTH(E106),AND(MONTH(TODAY())=MONTH(E106),DAY(TODAY())&lt;DAY(E106))),1,0))</f>
        <v>38</v>
      </c>
    </row>
    <row r="107" spans="1:6" x14ac:dyDescent="0.3">
      <c r="A107" s="34" t="s">
        <v>369</v>
      </c>
      <c r="B107" s="34" t="s">
        <v>370</v>
      </c>
      <c r="C107" s="34" t="s">
        <v>290</v>
      </c>
      <c r="D107" s="35" t="s">
        <v>12</v>
      </c>
      <c r="E107" s="36" t="s">
        <v>371</v>
      </c>
      <c r="F107" s="37">
        <f ca="1">IF(T_CÓDIGO[[#This Row],[FECHA DE NACIMIENTO]]="","",YEAR(TODAY())-YEAR(T_CÓDIGO[[#This Row],[FECHA DE NACIMIENTO]])-IF(OR(MONTH(TODAY())&lt;MONTH(E107),AND(MONTH(TODAY())=MONTH(E107),DAY(TODAY())&lt;DAY(E107))),1,0))</f>
        <v>38</v>
      </c>
    </row>
    <row r="108" spans="1:6" x14ac:dyDescent="0.3">
      <c r="A108" s="34" t="s">
        <v>373</v>
      </c>
      <c r="B108" s="34" t="s">
        <v>374</v>
      </c>
      <c r="C108" s="34" t="s">
        <v>278</v>
      </c>
      <c r="D108" s="35" t="s">
        <v>24</v>
      </c>
      <c r="E108" s="36">
        <v>34022</v>
      </c>
      <c r="F108" s="37">
        <f ca="1">IF(T_CÓDIGO[[#This Row],[FECHA DE NACIMIENTO]]="","",YEAR(TODAY())-YEAR(T_CÓDIGO[[#This Row],[FECHA DE NACIMIENTO]])-IF(OR(MONTH(TODAY())&lt;MONTH(E108),AND(MONTH(TODAY())=MONTH(E108),DAY(TODAY())&lt;DAY(E108))),1,0))</f>
        <v>31</v>
      </c>
    </row>
    <row r="109" spans="1:6" x14ac:dyDescent="0.3">
      <c r="A109" s="34" t="s">
        <v>375</v>
      </c>
      <c r="B109" s="34" t="s">
        <v>376</v>
      </c>
      <c r="C109" s="34" t="s">
        <v>271</v>
      </c>
      <c r="D109" s="35" t="s">
        <v>12</v>
      </c>
      <c r="E109" s="36">
        <v>30448</v>
      </c>
      <c r="F109" s="37">
        <f ca="1">IF(T_CÓDIGO[[#This Row],[FECHA DE NACIMIENTO]]="","",YEAR(TODAY())-YEAR(T_CÓDIGO[[#This Row],[FECHA DE NACIMIENTO]])-IF(OR(MONTH(TODAY())&lt;MONTH(E109),AND(MONTH(TODAY())=MONTH(E109),DAY(TODAY())&lt;DAY(E109))),1,0))</f>
        <v>41</v>
      </c>
    </row>
    <row r="110" spans="1:6" x14ac:dyDescent="0.3">
      <c r="A110" s="34" t="s">
        <v>150</v>
      </c>
      <c r="B110" s="34">
        <v>1724360787</v>
      </c>
      <c r="C110" s="34" t="s">
        <v>260</v>
      </c>
      <c r="D110" s="35" t="s">
        <v>12</v>
      </c>
      <c r="E110" s="36">
        <v>34729</v>
      </c>
      <c r="F110" s="37">
        <f ca="1">IF(T_CÓDIGO[[#This Row],[FECHA DE NACIMIENTO]]="","",YEAR(TODAY())-YEAR(T_CÓDIGO[[#This Row],[FECHA DE NACIMIENTO]])-IF(OR(MONTH(TODAY())&lt;MONTH(E110),AND(MONTH(TODAY())=MONTH(E110),DAY(TODAY())&lt;DAY(E110))),1,0))</f>
        <v>29</v>
      </c>
    </row>
    <row r="111" spans="1:6" x14ac:dyDescent="0.3">
      <c r="A111" s="34" t="s">
        <v>377</v>
      </c>
      <c r="B111" s="34">
        <v>1721140174</v>
      </c>
      <c r="C111" s="34" t="s">
        <v>277</v>
      </c>
      <c r="D111" s="35" t="s">
        <v>12</v>
      </c>
      <c r="E111" s="36">
        <v>31557</v>
      </c>
      <c r="F111" s="37">
        <f ca="1">IF(T_CÓDIGO[[#This Row],[FECHA DE NACIMIENTO]]="","",YEAR(TODAY())-YEAR(T_CÓDIGO[[#This Row],[FECHA DE NACIMIENTO]])-IF(OR(MONTH(TODAY())&lt;MONTH(E111),AND(MONTH(TODAY())=MONTH(E111),DAY(TODAY())&lt;DAY(E111))),1,0))</f>
        <v>38</v>
      </c>
    </row>
    <row r="112" spans="1:6" x14ac:dyDescent="0.3">
      <c r="A112" s="34" t="s">
        <v>71</v>
      </c>
      <c r="B112" s="34">
        <v>1805030051</v>
      </c>
      <c r="C112" s="34" t="s">
        <v>279</v>
      </c>
      <c r="D112" s="35" t="s">
        <v>12</v>
      </c>
      <c r="E112" s="36">
        <v>32985</v>
      </c>
      <c r="F112" s="37">
        <f ca="1">IF(T_CÓDIGO[[#This Row],[FECHA DE NACIMIENTO]]="","",YEAR(TODAY())-YEAR(T_CÓDIGO[[#This Row],[FECHA DE NACIMIENTO]])-IF(OR(MONTH(TODAY())&lt;MONTH(E112),AND(MONTH(TODAY())=MONTH(E112),DAY(TODAY())&lt;DAY(E112))),1,0))</f>
        <v>34</v>
      </c>
    </row>
    <row r="113" spans="1:6" x14ac:dyDescent="0.3">
      <c r="A113" s="34" t="s">
        <v>378</v>
      </c>
      <c r="B113" s="34">
        <v>1400864235</v>
      </c>
      <c r="C113" s="34" t="s">
        <v>260</v>
      </c>
      <c r="D113" s="35" t="s">
        <v>12</v>
      </c>
      <c r="E113" s="36">
        <v>34142</v>
      </c>
      <c r="F113" s="37">
        <f ca="1">IF(T_CÓDIGO[[#This Row],[FECHA DE NACIMIENTO]]="","",YEAR(TODAY())-YEAR(T_CÓDIGO[[#This Row],[FECHA DE NACIMIENTO]])-IF(OR(MONTH(TODAY())&lt;MONTH(E113),AND(MONTH(TODAY())=MONTH(E113),DAY(TODAY())&lt;DAY(E113))),1,0))</f>
        <v>31</v>
      </c>
    </row>
    <row r="114" spans="1:6" x14ac:dyDescent="0.3">
      <c r="A114" s="34" t="s">
        <v>748</v>
      </c>
      <c r="B114" s="34" t="s">
        <v>749</v>
      </c>
      <c r="C114" s="34" t="s">
        <v>260</v>
      </c>
      <c r="D114" s="35" t="s">
        <v>12</v>
      </c>
      <c r="E114" s="36">
        <v>31420</v>
      </c>
      <c r="F114" s="37">
        <f ca="1">IF(T_CÓDIGO[[#This Row],[FECHA DE NACIMIENTO]]="","",YEAR(TODAY())-YEAR(T_CÓDIGO[[#This Row],[FECHA DE NACIMIENTO]])-IF(OR(MONTH(TODAY())&lt;MONTH(E114),AND(MONTH(TODAY())=MONTH(E114),DAY(TODAY())&lt;DAY(E114))),1,0))</f>
        <v>38</v>
      </c>
    </row>
    <row r="115" spans="1:6" x14ac:dyDescent="0.3">
      <c r="A115" s="34" t="s">
        <v>135</v>
      </c>
      <c r="B115" s="34">
        <v>6102785034</v>
      </c>
      <c r="C115" s="34" t="s">
        <v>271</v>
      </c>
      <c r="D115" s="35" t="s">
        <v>12</v>
      </c>
      <c r="E115" s="36">
        <v>29094</v>
      </c>
      <c r="F115" s="37">
        <f ca="1">IF(T_CÓDIGO[[#This Row],[FECHA DE NACIMIENTO]]="","",YEAR(TODAY())-YEAR(T_CÓDIGO[[#This Row],[FECHA DE NACIMIENTO]])-IF(OR(MONTH(TODAY())&lt;MONTH(E115),AND(MONTH(TODAY())=MONTH(E115),DAY(TODAY())&lt;DAY(E115))),1,0))</f>
        <v>45</v>
      </c>
    </row>
    <row r="116" spans="1:6" x14ac:dyDescent="0.3">
      <c r="A116" s="34" t="s">
        <v>379</v>
      </c>
      <c r="B116" s="34">
        <v>1002680112</v>
      </c>
      <c r="C116" s="34" t="s">
        <v>276</v>
      </c>
      <c r="D116" s="35" t="s">
        <v>12</v>
      </c>
      <c r="E116" s="36">
        <v>31399</v>
      </c>
      <c r="F116" s="37">
        <f ca="1">IF(T_CÓDIGO[[#This Row],[FECHA DE NACIMIENTO]]="","",YEAR(TODAY())-YEAR(T_CÓDIGO[[#This Row],[FECHA DE NACIMIENTO]])-IF(OR(MONTH(TODAY())&lt;MONTH(E116),AND(MONTH(TODAY())=MONTH(E116),DAY(TODAY())&lt;DAY(E116))),1,0))</f>
        <v>38</v>
      </c>
    </row>
    <row r="117" spans="1:6" x14ac:dyDescent="0.3">
      <c r="A117" s="34" t="s">
        <v>750</v>
      </c>
      <c r="B117" s="34" t="s">
        <v>751</v>
      </c>
      <c r="C117" s="34" t="s">
        <v>260</v>
      </c>
      <c r="D117" s="35" t="s">
        <v>12</v>
      </c>
      <c r="E117" s="36">
        <v>34972</v>
      </c>
      <c r="F117" s="37">
        <f ca="1">IF(T_CÓDIGO[[#This Row],[FECHA DE NACIMIENTO]]="","",YEAR(TODAY())-YEAR(T_CÓDIGO[[#This Row],[FECHA DE NACIMIENTO]])-IF(OR(MONTH(TODAY())&lt;MONTH(E117),AND(MONTH(TODAY())=MONTH(E117),DAY(TODAY())&lt;DAY(E117))),1,0))</f>
        <v>29</v>
      </c>
    </row>
    <row r="118" spans="1:6" x14ac:dyDescent="0.3">
      <c r="A118" s="34" t="s">
        <v>752</v>
      </c>
      <c r="B118" s="34" t="s">
        <v>753</v>
      </c>
      <c r="C118" s="34" t="s">
        <v>276</v>
      </c>
      <c r="D118" s="35" t="s">
        <v>12</v>
      </c>
      <c r="E118" s="36">
        <v>33514</v>
      </c>
      <c r="F118" s="37">
        <f ca="1">IF(T_CÓDIGO[[#This Row],[FECHA DE NACIMIENTO]]="","",YEAR(TODAY())-YEAR(T_CÓDIGO[[#This Row],[FECHA DE NACIMIENTO]])-IF(OR(MONTH(TODAY())&lt;MONTH(E118),AND(MONTH(TODAY())=MONTH(E118),DAY(TODAY())&lt;DAY(E118))),1,0))</f>
        <v>33</v>
      </c>
    </row>
    <row r="119" spans="1:6" x14ac:dyDescent="0.3">
      <c r="A119" s="34" t="s">
        <v>80</v>
      </c>
      <c r="B119" s="34" t="s">
        <v>380</v>
      </c>
      <c r="C119" s="34" t="s">
        <v>277</v>
      </c>
      <c r="D119" s="35" t="s">
        <v>12</v>
      </c>
      <c r="E119" s="36">
        <v>31767</v>
      </c>
      <c r="F119" s="37">
        <f ca="1">IF(T_CÓDIGO[[#This Row],[FECHA DE NACIMIENTO]]="","",YEAR(TODAY())-YEAR(T_CÓDIGO[[#This Row],[FECHA DE NACIMIENTO]])-IF(OR(MONTH(TODAY())&lt;MONTH(E119),AND(MONTH(TODAY())=MONTH(E119),DAY(TODAY())&lt;DAY(E119))),1,0))</f>
        <v>37</v>
      </c>
    </row>
    <row r="120" spans="1:6" x14ac:dyDescent="0.3">
      <c r="A120" s="34" t="s">
        <v>63</v>
      </c>
      <c r="B120" s="34">
        <v>1750847541</v>
      </c>
      <c r="C120" s="34" t="s">
        <v>278</v>
      </c>
      <c r="D120" s="35" t="s">
        <v>24</v>
      </c>
      <c r="E120" s="36">
        <v>35898</v>
      </c>
      <c r="F120" s="37">
        <f ca="1">IF(T_CÓDIGO[[#This Row],[FECHA DE NACIMIENTO]]="","",YEAR(TODAY())-YEAR(T_CÓDIGO[[#This Row],[FECHA DE NACIMIENTO]])-IF(OR(MONTH(TODAY())&lt;MONTH(E120),AND(MONTH(TODAY())=MONTH(E120),DAY(TODAY())&lt;DAY(E120))),1,0))</f>
        <v>26</v>
      </c>
    </row>
    <row r="121" spans="1:6" x14ac:dyDescent="0.3">
      <c r="A121" s="34" t="s">
        <v>45</v>
      </c>
      <c r="B121" s="34" t="s">
        <v>381</v>
      </c>
      <c r="C121" s="34" t="s">
        <v>315</v>
      </c>
      <c r="D121" s="35" t="s">
        <v>12</v>
      </c>
      <c r="E121" s="36">
        <v>26479</v>
      </c>
      <c r="F121" s="37">
        <f ca="1">IF(T_CÓDIGO[[#This Row],[FECHA DE NACIMIENTO]]="","",YEAR(TODAY())-YEAR(T_CÓDIGO[[#This Row],[FECHA DE NACIMIENTO]])-IF(OR(MONTH(TODAY())&lt;MONTH(E121),AND(MONTH(TODAY())=MONTH(E121),DAY(TODAY())&lt;DAY(E121))),1,0))</f>
        <v>52</v>
      </c>
    </row>
    <row r="122" spans="1:6" x14ac:dyDescent="0.3">
      <c r="A122" s="34" t="s">
        <v>382</v>
      </c>
      <c r="B122" s="34" t="s">
        <v>383</v>
      </c>
      <c r="C122" s="34" t="s">
        <v>315</v>
      </c>
      <c r="D122" s="35" t="s">
        <v>12</v>
      </c>
      <c r="E122" s="36">
        <v>27698</v>
      </c>
      <c r="F122" s="37">
        <f ca="1">IF(T_CÓDIGO[[#This Row],[FECHA DE NACIMIENTO]]="","",YEAR(TODAY())-YEAR(T_CÓDIGO[[#This Row],[FECHA DE NACIMIENTO]])-IF(OR(MONTH(TODAY())&lt;MONTH(E122),AND(MONTH(TODAY())=MONTH(E122),DAY(TODAY())&lt;DAY(E122))),1,0))</f>
        <v>49</v>
      </c>
    </row>
    <row r="123" spans="1:6" x14ac:dyDescent="0.3">
      <c r="A123" s="34" t="s">
        <v>384</v>
      </c>
      <c r="B123" s="34" t="s">
        <v>385</v>
      </c>
      <c r="C123" s="34" t="s">
        <v>271</v>
      </c>
      <c r="D123" s="35" t="s">
        <v>12</v>
      </c>
      <c r="E123" s="36">
        <v>32835</v>
      </c>
      <c r="F123" s="37">
        <f ca="1">IF(T_CÓDIGO[[#This Row],[FECHA DE NACIMIENTO]]="","",YEAR(TODAY())-YEAR(T_CÓDIGO[[#This Row],[FECHA DE NACIMIENTO]])-IF(OR(MONTH(TODAY())&lt;MONTH(E123),AND(MONTH(TODAY())=MONTH(E123),DAY(TODAY())&lt;DAY(E123))),1,0))</f>
        <v>35</v>
      </c>
    </row>
    <row r="124" spans="1:6" x14ac:dyDescent="0.3">
      <c r="A124" s="34" t="s">
        <v>386</v>
      </c>
      <c r="B124" s="34">
        <v>1711485175</v>
      </c>
      <c r="C124" s="34" t="s">
        <v>262</v>
      </c>
      <c r="D124" s="35" t="s">
        <v>12</v>
      </c>
      <c r="E124" s="36">
        <v>25981</v>
      </c>
      <c r="F124" s="37">
        <f ca="1">IF(T_CÓDIGO[[#This Row],[FECHA DE NACIMIENTO]]="","",YEAR(TODAY())-YEAR(T_CÓDIGO[[#This Row],[FECHA DE NACIMIENTO]])-IF(OR(MONTH(TODAY())&lt;MONTH(E124),AND(MONTH(TODAY())=MONTH(E124),DAY(TODAY())&lt;DAY(E124))),1,0))</f>
        <v>53</v>
      </c>
    </row>
    <row r="125" spans="1:6" x14ac:dyDescent="0.3">
      <c r="A125" s="34" t="s">
        <v>680</v>
      </c>
      <c r="B125" s="34" t="s">
        <v>681</v>
      </c>
      <c r="C125" s="34" t="s">
        <v>260</v>
      </c>
      <c r="D125" s="35" t="s">
        <v>12</v>
      </c>
      <c r="E125" s="36">
        <v>37858</v>
      </c>
      <c r="F125" s="37">
        <f ca="1">IF(T_CÓDIGO[[#This Row],[FECHA DE NACIMIENTO]]="","",YEAR(TODAY())-YEAR(T_CÓDIGO[[#This Row],[FECHA DE NACIMIENTO]])-IF(OR(MONTH(TODAY())&lt;MONTH(E125),AND(MONTH(TODAY())=MONTH(E125),DAY(TODAY())&lt;DAY(E125))),1,0))</f>
        <v>21</v>
      </c>
    </row>
    <row r="126" spans="1:6" x14ac:dyDescent="0.3">
      <c r="A126" s="34" t="s">
        <v>388</v>
      </c>
      <c r="B126" s="34">
        <v>1722345426</v>
      </c>
      <c r="C126" s="34" t="s">
        <v>387</v>
      </c>
      <c r="D126" s="35" t="s">
        <v>24</v>
      </c>
      <c r="E126" s="36">
        <v>34053</v>
      </c>
      <c r="F126" s="37">
        <f ca="1">IF(T_CÓDIGO[[#This Row],[FECHA DE NACIMIENTO]]="","",YEAR(TODAY())-YEAR(T_CÓDIGO[[#This Row],[FECHA DE NACIMIENTO]])-IF(OR(MONTH(TODAY())&lt;MONTH(E126),AND(MONTH(TODAY())=MONTH(E126),DAY(TODAY())&lt;DAY(E126))),1,0))</f>
        <v>31</v>
      </c>
    </row>
    <row r="127" spans="1:6" x14ac:dyDescent="0.3">
      <c r="A127" s="34" t="s">
        <v>129</v>
      </c>
      <c r="B127" s="34" t="s">
        <v>389</v>
      </c>
      <c r="C127" s="34" t="s">
        <v>260</v>
      </c>
      <c r="D127" s="35" t="s">
        <v>12</v>
      </c>
      <c r="E127" s="36">
        <v>31338</v>
      </c>
      <c r="F127" s="37">
        <f ca="1">IF(T_CÓDIGO[[#This Row],[FECHA DE NACIMIENTO]]="","",YEAR(TODAY())-YEAR(T_CÓDIGO[[#This Row],[FECHA DE NACIMIENTO]])-IF(OR(MONTH(TODAY())&lt;MONTH(E127),AND(MONTH(TODAY())=MONTH(E127),DAY(TODAY())&lt;DAY(E127))),1,0))</f>
        <v>39</v>
      </c>
    </row>
    <row r="128" spans="1:6" x14ac:dyDescent="0.3">
      <c r="A128" s="34" t="s">
        <v>56</v>
      </c>
      <c r="B128" s="34" t="s">
        <v>390</v>
      </c>
      <c r="C128" s="34" t="s">
        <v>315</v>
      </c>
      <c r="D128" s="35" t="s">
        <v>12</v>
      </c>
      <c r="E128" s="36">
        <v>36448</v>
      </c>
      <c r="F128" s="37">
        <f ca="1">IF(T_CÓDIGO[[#This Row],[FECHA DE NACIMIENTO]]="","",YEAR(TODAY())-YEAR(T_CÓDIGO[[#This Row],[FECHA DE NACIMIENTO]])-IF(OR(MONTH(TODAY())&lt;MONTH(E128),AND(MONTH(TODAY())=MONTH(E128),DAY(TODAY())&lt;DAY(E128))),1,0))</f>
        <v>25</v>
      </c>
    </row>
    <row r="129" spans="1:6" x14ac:dyDescent="0.3">
      <c r="A129" s="34" t="s">
        <v>754</v>
      </c>
      <c r="B129" s="34" t="s">
        <v>755</v>
      </c>
      <c r="C129" s="34" t="s">
        <v>260</v>
      </c>
      <c r="D129" s="35" t="s">
        <v>12</v>
      </c>
      <c r="E129" s="36">
        <v>35706</v>
      </c>
      <c r="F129" s="37">
        <f ca="1">IF(T_CÓDIGO[[#This Row],[FECHA DE NACIMIENTO]]="","",YEAR(TODAY())-YEAR(T_CÓDIGO[[#This Row],[FECHA DE NACIMIENTO]])-IF(OR(MONTH(TODAY())&lt;MONTH(E129),AND(MONTH(TODAY())=MONTH(E129),DAY(TODAY())&lt;DAY(E129))),1,0))</f>
        <v>27</v>
      </c>
    </row>
    <row r="130" spans="1:6" x14ac:dyDescent="0.3">
      <c r="A130" s="34" t="s">
        <v>756</v>
      </c>
      <c r="B130" s="34" t="s">
        <v>391</v>
      </c>
      <c r="C130" s="34" t="s">
        <v>260</v>
      </c>
      <c r="D130" s="35" t="s">
        <v>12</v>
      </c>
      <c r="E130" s="36">
        <v>34330</v>
      </c>
      <c r="F130" s="37">
        <f ca="1">IF(T_CÓDIGO[[#This Row],[FECHA DE NACIMIENTO]]="","",YEAR(TODAY())-YEAR(T_CÓDIGO[[#This Row],[FECHA DE NACIMIENTO]])-IF(OR(MONTH(TODAY())&lt;MONTH(E130),AND(MONTH(TODAY())=MONTH(E130),DAY(TODAY())&lt;DAY(E130))),1,0))</f>
        <v>30</v>
      </c>
    </row>
    <row r="131" spans="1:6" x14ac:dyDescent="0.3">
      <c r="A131" s="34" t="s">
        <v>757</v>
      </c>
      <c r="B131" s="34" t="s">
        <v>758</v>
      </c>
      <c r="C131" s="34" t="s">
        <v>279</v>
      </c>
      <c r="D131" s="35" t="s">
        <v>12</v>
      </c>
      <c r="E131" s="36">
        <v>35288</v>
      </c>
      <c r="F131" s="37">
        <f ca="1">IF(T_CÓDIGO[[#This Row],[FECHA DE NACIMIENTO]]="","",YEAR(TODAY())-YEAR(T_CÓDIGO[[#This Row],[FECHA DE NACIMIENTO]])-IF(OR(MONTH(TODAY())&lt;MONTH(E131),AND(MONTH(TODAY())=MONTH(E131),DAY(TODAY())&lt;DAY(E131))),1,0))</f>
        <v>28</v>
      </c>
    </row>
    <row r="132" spans="1:6" x14ac:dyDescent="0.3">
      <c r="A132" s="34" t="s">
        <v>124</v>
      </c>
      <c r="B132" s="34">
        <v>6101764436</v>
      </c>
      <c r="C132" s="34" t="s">
        <v>271</v>
      </c>
      <c r="D132" s="35" t="s">
        <v>12</v>
      </c>
      <c r="E132" s="36">
        <v>28161</v>
      </c>
      <c r="F132" s="37">
        <f ca="1">IF(T_CÓDIGO[[#This Row],[FECHA DE NACIMIENTO]]="","",YEAR(TODAY())-YEAR(T_CÓDIGO[[#This Row],[FECHA DE NACIMIENTO]])-IF(OR(MONTH(TODAY())&lt;MONTH(E132),AND(MONTH(TODAY())=MONTH(E132),DAY(TODAY())&lt;DAY(E132))),1,0))</f>
        <v>47</v>
      </c>
    </row>
    <row r="133" spans="1:6" x14ac:dyDescent="0.3">
      <c r="A133" s="34" t="s">
        <v>73</v>
      </c>
      <c r="B133" s="34">
        <v>1722891700</v>
      </c>
      <c r="C133" s="34" t="s">
        <v>392</v>
      </c>
      <c r="D133" s="35" t="s">
        <v>12</v>
      </c>
      <c r="E133" s="36">
        <v>34449</v>
      </c>
      <c r="F133" s="37">
        <f ca="1">IF(T_CÓDIGO[[#This Row],[FECHA DE NACIMIENTO]]="","",YEAR(TODAY())-YEAR(T_CÓDIGO[[#This Row],[FECHA DE NACIMIENTO]])-IF(OR(MONTH(TODAY())&lt;MONTH(E133),AND(MONTH(TODAY())=MONTH(E133),DAY(TODAY())&lt;DAY(E133))),1,0))</f>
        <v>30</v>
      </c>
    </row>
    <row r="134" spans="1:6" x14ac:dyDescent="0.3">
      <c r="A134" s="34" t="s">
        <v>759</v>
      </c>
      <c r="B134" s="34" t="s">
        <v>760</v>
      </c>
      <c r="C134" s="34" t="s">
        <v>552</v>
      </c>
      <c r="D134" s="35" t="s">
        <v>24</v>
      </c>
      <c r="E134" s="36" t="s">
        <v>761</v>
      </c>
      <c r="F134" s="37">
        <f ca="1">IF(T_CÓDIGO[[#This Row],[FECHA DE NACIMIENTO]]="","",YEAR(TODAY())-YEAR(T_CÓDIGO[[#This Row],[FECHA DE NACIMIENTO]])-IF(OR(MONTH(TODAY())&lt;MONTH(E134),AND(MONTH(TODAY())=MONTH(E134),DAY(TODAY())&lt;DAY(E134))),1,0))</f>
        <v>27</v>
      </c>
    </row>
    <row r="135" spans="1:6" x14ac:dyDescent="0.3">
      <c r="A135" s="34" t="s">
        <v>393</v>
      </c>
      <c r="B135" s="34">
        <v>1900541192</v>
      </c>
      <c r="C135" s="34" t="s">
        <v>277</v>
      </c>
      <c r="D135" s="35" t="s">
        <v>12</v>
      </c>
      <c r="E135" s="36">
        <v>34293</v>
      </c>
      <c r="F135" s="37">
        <f ca="1">IF(T_CÓDIGO[[#This Row],[FECHA DE NACIMIENTO]]="","",YEAR(TODAY())-YEAR(T_CÓDIGO[[#This Row],[FECHA DE NACIMIENTO]])-IF(OR(MONTH(TODAY())&lt;MONTH(E135),AND(MONTH(TODAY())=MONTH(E135),DAY(TODAY())&lt;DAY(E135))),1,0))</f>
        <v>31</v>
      </c>
    </row>
    <row r="136" spans="1:6" x14ac:dyDescent="0.3">
      <c r="A136" s="34" t="s">
        <v>147</v>
      </c>
      <c r="B136" s="34">
        <v>1105606592</v>
      </c>
      <c r="C136" s="34" t="s">
        <v>260</v>
      </c>
      <c r="D136" s="35" t="s">
        <v>12</v>
      </c>
      <c r="E136" s="36">
        <v>35027</v>
      </c>
      <c r="F136" s="37">
        <f ca="1">IF(T_CÓDIGO[[#This Row],[FECHA DE NACIMIENTO]]="","",YEAR(TODAY())-YEAR(T_CÓDIGO[[#This Row],[FECHA DE NACIMIENTO]])-IF(OR(MONTH(TODAY())&lt;MONTH(E136),AND(MONTH(TODAY())=MONTH(E136),DAY(TODAY())&lt;DAY(E136))),1,0))</f>
        <v>29</v>
      </c>
    </row>
    <row r="137" spans="1:6" x14ac:dyDescent="0.3">
      <c r="A137" s="34" t="s">
        <v>44</v>
      </c>
      <c r="B137" s="34" t="s">
        <v>394</v>
      </c>
      <c r="C137" s="34" t="s">
        <v>395</v>
      </c>
      <c r="D137" s="35" t="s">
        <v>24</v>
      </c>
      <c r="E137" s="36">
        <v>32734</v>
      </c>
      <c r="F137" s="37">
        <f ca="1">IF(T_CÓDIGO[[#This Row],[FECHA DE NACIMIENTO]]="","",YEAR(TODAY())-YEAR(T_CÓDIGO[[#This Row],[FECHA DE NACIMIENTO]])-IF(OR(MONTH(TODAY())&lt;MONTH(E137),AND(MONTH(TODAY())=MONTH(E137),DAY(TODAY())&lt;DAY(E137))),1,0))</f>
        <v>35</v>
      </c>
    </row>
    <row r="138" spans="1:6" x14ac:dyDescent="0.3">
      <c r="A138" s="34" t="s">
        <v>396</v>
      </c>
      <c r="B138" s="34" t="s">
        <v>397</v>
      </c>
      <c r="C138" s="34" t="s">
        <v>340</v>
      </c>
      <c r="D138" s="35" t="s">
        <v>24</v>
      </c>
      <c r="E138" s="36">
        <v>36945</v>
      </c>
      <c r="F138" s="37">
        <f ca="1">IF(T_CÓDIGO[[#This Row],[FECHA DE NACIMIENTO]]="","",YEAR(TODAY())-YEAR(T_CÓDIGO[[#This Row],[FECHA DE NACIMIENTO]])-IF(OR(MONTH(TODAY())&lt;MONTH(E138),AND(MONTH(TODAY())=MONTH(E138),DAY(TODAY())&lt;DAY(E138))),1,0))</f>
        <v>23</v>
      </c>
    </row>
    <row r="139" spans="1:6" x14ac:dyDescent="0.3">
      <c r="A139" s="34" t="s">
        <v>762</v>
      </c>
      <c r="B139" s="34" t="s">
        <v>763</v>
      </c>
      <c r="C139" s="34" t="s">
        <v>260</v>
      </c>
      <c r="D139" s="35" t="s">
        <v>12</v>
      </c>
      <c r="E139" s="36">
        <v>37588</v>
      </c>
      <c r="F139" s="37">
        <f ca="1">IF(T_CÓDIGO[[#This Row],[FECHA DE NACIMIENTO]]="","",YEAR(TODAY())-YEAR(T_CÓDIGO[[#This Row],[FECHA DE NACIMIENTO]])-IF(OR(MONTH(TODAY())&lt;MONTH(E139),AND(MONTH(TODAY())=MONTH(E139),DAY(TODAY())&lt;DAY(E139))),1,0))</f>
        <v>22</v>
      </c>
    </row>
    <row r="140" spans="1:6" x14ac:dyDescent="0.3">
      <c r="A140" s="34" t="s">
        <v>121</v>
      </c>
      <c r="B140" s="34" t="s">
        <v>404</v>
      </c>
      <c r="C140" s="34" t="s">
        <v>392</v>
      </c>
      <c r="D140" s="35" t="s">
        <v>24</v>
      </c>
      <c r="E140" s="36">
        <v>33977</v>
      </c>
      <c r="F140" s="37">
        <f ca="1">IF(T_CÓDIGO[[#This Row],[FECHA DE NACIMIENTO]]="","",YEAR(TODAY())-YEAR(T_CÓDIGO[[#This Row],[FECHA DE NACIMIENTO]])-IF(OR(MONTH(TODAY())&lt;MONTH(E140),AND(MONTH(TODAY())=MONTH(E140),DAY(TODAY())&lt;DAY(E140))),1,0))</f>
        <v>31</v>
      </c>
    </row>
    <row r="141" spans="1:6" x14ac:dyDescent="0.3">
      <c r="A141" s="34" t="s">
        <v>398</v>
      </c>
      <c r="B141" s="34" t="s">
        <v>399</v>
      </c>
      <c r="C141" s="34" t="s">
        <v>277</v>
      </c>
      <c r="D141" s="35" t="s">
        <v>12</v>
      </c>
      <c r="E141" s="36">
        <v>36141</v>
      </c>
      <c r="F141" s="37">
        <f ca="1">IF(T_CÓDIGO[[#This Row],[FECHA DE NACIMIENTO]]="","",YEAR(TODAY())-YEAR(T_CÓDIGO[[#This Row],[FECHA DE NACIMIENTO]])-IF(OR(MONTH(TODAY())&lt;MONTH(E141),AND(MONTH(TODAY())=MONTH(E141),DAY(TODAY())&lt;DAY(E141))),1,0))</f>
        <v>25</v>
      </c>
    </row>
    <row r="142" spans="1:6" x14ac:dyDescent="0.3">
      <c r="A142" s="34" t="s">
        <v>401</v>
      </c>
      <c r="B142" s="34">
        <v>1002781126</v>
      </c>
      <c r="C142" s="34" t="s">
        <v>319</v>
      </c>
      <c r="D142" s="35" t="s">
        <v>12</v>
      </c>
      <c r="E142" s="36">
        <v>28812</v>
      </c>
      <c r="F142" s="37">
        <f ca="1">IF(T_CÓDIGO[[#This Row],[FECHA DE NACIMIENTO]]="","",YEAR(TODAY())-YEAR(T_CÓDIGO[[#This Row],[FECHA DE NACIMIENTO]])-IF(OR(MONTH(TODAY())&lt;MONTH(E142),AND(MONTH(TODAY())=MONTH(E142),DAY(TODAY())&lt;DAY(E142))),1,0))</f>
        <v>46</v>
      </c>
    </row>
    <row r="143" spans="1:6" x14ac:dyDescent="0.3">
      <c r="A143" s="34" t="s">
        <v>764</v>
      </c>
      <c r="B143" s="34">
        <v>1751804369</v>
      </c>
      <c r="C143" s="34" t="s">
        <v>260</v>
      </c>
      <c r="D143" s="35" t="s">
        <v>12</v>
      </c>
      <c r="E143" s="36">
        <v>36746</v>
      </c>
      <c r="F143" s="37">
        <f ca="1">IF(T_CÓDIGO[[#This Row],[FECHA DE NACIMIENTO]]="","",YEAR(TODAY())-YEAR(T_CÓDIGO[[#This Row],[FECHA DE NACIMIENTO]])-IF(OR(MONTH(TODAY())&lt;MONTH(E143),AND(MONTH(TODAY())=MONTH(E143),DAY(TODAY())&lt;DAY(E143))),1,0))</f>
        <v>24</v>
      </c>
    </row>
    <row r="144" spans="1:6" x14ac:dyDescent="0.3">
      <c r="A144" s="34" t="s">
        <v>402</v>
      </c>
      <c r="B144" s="34" t="s">
        <v>403</v>
      </c>
      <c r="C144" s="34" t="s">
        <v>260</v>
      </c>
      <c r="D144" s="35" t="s">
        <v>12</v>
      </c>
      <c r="E144" s="36">
        <v>32766</v>
      </c>
      <c r="F144" s="37">
        <f ca="1">IF(T_CÓDIGO[[#This Row],[FECHA DE NACIMIENTO]]="","",YEAR(TODAY())-YEAR(T_CÓDIGO[[#This Row],[FECHA DE NACIMIENTO]])-IF(OR(MONTH(TODAY())&lt;MONTH(E144),AND(MONTH(TODAY())=MONTH(E144),DAY(TODAY())&lt;DAY(E144))),1,0))</f>
        <v>35</v>
      </c>
    </row>
    <row r="145" spans="1:6" x14ac:dyDescent="0.3">
      <c r="A145" s="34" t="s">
        <v>765</v>
      </c>
      <c r="B145" s="34" t="s">
        <v>766</v>
      </c>
      <c r="C145" s="34" t="s">
        <v>260</v>
      </c>
      <c r="D145" s="35" t="s">
        <v>12</v>
      </c>
      <c r="E145" s="36">
        <v>31406</v>
      </c>
      <c r="F145" s="37">
        <f ca="1">IF(T_CÓDIGO[[#This Row],[FECHA DE NACIMIENTO]]="","",YEAR(TODAY())-YEAR(T_CÓDIGO[[#This Row],[FECHA DE NACIMIENTO]])-IF(OR(MONTH(TODAY())&lt;MONTH(E145),AND(MONTH(TODAY())=MONTH(E145),DAY(TODAY())&lt;DAY(E145))),1,0))</f>
        <v>38</v>
      </c>
    </row>
    <row r="146" spans="1:6" x14ac:dyDescent="0.3">
      <c r="A146" s="34" t="s">
        <v>767</v>
      </c>
      <c r="B146" s="34" t="s">
        <v>768</v>
      </c>
      <c r="C146" s="34" t="s">
        <v>348</v>
      </c>
      <c r="D146" s="35" t="s">
        <v>24</v>
      </c>
      <c r="E146" s="36">
        <v>34971</v>
      </c>
      <c r="F146" s="37">
        <f ca="1">IF(T_CÓDIGO[[#This Row],[FECHA DE NACIMIENTO]]="","",YEAR(TODAY())-YEAR(T_CÓDIGO[[#This Row],[FECHA DE NACIMIENTO]])-IF(OR(MONTH(TODAY())&lt;MONTH(E146),AND(MONTH(TODAY())=MONTH(E146),DAY(TODAY())&lt;DAY(E146))),1,0))</f>
        <v>29</v>
      </c>
    </row>
    <row r="147" spans="1:6" x14ac:dyDescent="0.3">
      <c r="A147" s="34" t="s">
        <v>405</v>
      </c>
      <c r="B147" s="34">
        <v>1717668667</v>
      </c>
      <c r="C147" s="34" t="s">
        <v>300</v>
      </c>
      <c r="D147" s="35" t="s">
        <v>24</v>
      </c>
      <c r="E147" s="36">
        <v>29855</v>
      </c>
      <c r="F147" s="37">
        <f ca="1">IF(T_CÓDIGO[[#This Row],[FECHA DE NACIMIENTO]]="","",YEAR(TODAY())-YEAR(T_CÓDIGO[[#This Row],[FECHA DE NACIMIENTO]])-IF(OR(MONTH(TODAY())&lt;MONTH(E147),AND(MONTH(TODAY())=MONTH(E147),DAY(TODAY())&lt;DAY(E147))),1,0))</f>
        <v>43</v>
      </c>
    </row>
    <row r="148" spans="1:6" x14ac:dyDescent="0.3">
      <c r="A148" s="34" t="s">
        <v>769</v>
      </c>
      <c r="B148" s="34" t="s">
        <v>770</v>
      </c>
      <c r="C148" s="34" t="s">
        <v>260</v>
      </c>
      <c r="D148" s="35" t="s">
        <v>12</v>
      </c>
      <c r="E148" s="36">
        <v>32218</v>
      </c>
      <c r="F148" s="37">
        <f ca="1">IF(T_CÓDIGO[[#This Row],[FECHA DE NACIMIENTO]]="","",YEAR(TODAY())-YEAR(T_CÓDIGO[[#This Row],[FECHA DE NACIMIENTO]])-IF(OR(MONTH(TODAY())&lt;MONTH(E148),AND(MONTH(TODAY())=MONTH(E148),DAY(TODAY())&lt;DAY(E148))),1,0))</f>
        <v>36</v>
      </c>
    </row>
    <row r="149" spans="1:6" x14ac:dyDescent="0.3">
      <c r="A149" s="34" t="s">
        <v>701</v>
      </c>
      <c r="B149" s="34" t="s">
        <v>771</v>
      </c>
      <c r="C149" s="34" t="s">
        <v>260</v>
      </c>
      <c r="D149" s="35" t="s">
        <v>12</v>
      </c>
      <c r="E149" s="36">
        <v>31079</v>
      </c>
      <c r="F149" s="37">
        <f ca="1">IF(T_CÓDIGO[[#This Row],[FECHA DE NACIMIENTO]]="","",YEAR(TODAY())-YEAR(T_CÓDIGO[[#This Row],[FECHA DE NACIMIENTO]])-IF(OR(MONTH(TODAY())&lt;MONTH(E149),AND(MONTH(TODAY())=MONTH(E149),DAY(TODAY())&lt;DAY(E149))),1,0))</f>
        <v>39</v>
      </c>
    </row>
    <row r="150" spans="1:6" x14ac:dyDescent="0.3">
      <c r="A150" s="34" t="s">
        <v>410</v>
      </c>
      <c r="B150" s="34" t="s">
        <v>411</v>
      </c>
      <c r="C150" s="34" t="s">
        <v>279</v>
      </c>
      <c r="D150" s="35" t="s">
        <v>12</v>
      </c>
      <c r="E150" s="36">
        <v>35242</v>
      </c>
      <c r="F150" s="37">
        <f ca="1">IF(T_CÓDIGO[[#This Row],[FECHA DE NACIMIENTO]]="","",YEAR(TODAY())-YEAR(T_CÓDIGO[[#This Row],[FECHA DE NACIMIENTO]])-IF(OR(MONTH(TODAY())&lt;MONTH(E150),AND(MONTH(TODAY())=MONTH(E150),DAY(TODAY())&lt;DAY(E150))),1,0))</f>
        <v>28</v>
      </c>
    </row>
    <row r="151" spans="1:6" x14ac:dyDescent="0.3">
      <c r="A151" s="34" t="s">
        <v>412</v>
      </c>
      <c r="B151" s="34" t="s">
        <v>413</v>
      </c>
      <c r="C151" s="34" t="s">
        <v>260</v>
      </c>
      <c r="D151" s="35" t="s">
        <v>12</v>
      </c>
      <c r="E151" s="36">
        <v>37947</v>
      </c>
      <c r="F151" s="37">
        <f ca="1">IF(T_CÓDIGO[[#This Row],[FECHA DE NACIMIENTO]]="","",YEAR(TODAY())-YEAR(T_CÓDIGO[[#This Row],[FECHA DE NACIMIENTO]])-IF(OR(MONTH(TODAY())&lt;MONTH(E151),AND(MONTH(TODAY())=MONTH(E151),DAY(TODAY())&lt;DAY(E151))),1,0))</f>
        <v>21</v>
      </c>
    </row>
    <row r="152" spans="1:6" x14ac:dyDescent="0.3">
      <c r="A152" s="34" t="s">
        <v>772</v>
      </c>
      <c r="B152" s="34" t="s">
        <v>773</v>
      </c>
      <c r="C152" s="34" t="s">
        <v>260</v>
      </c>
      <c r="D152" s="35" t="s">
        <v>12</v>
      </c>
      <c r="E152" s="36">
        <v>31923</v>
      </c>
      <c r="F152" s="37">
        <f ca="1">IF(T_CÓDIGO[[#This Row],[FECHA DE NACIMIENTO]]="","",YEAR(TODAY())-YEAR(T_CÓDIGO[[#This Row],[FECHA DE NACIMIENTO]])-IF(OR(MONTH(TODAY())&lt;MONTH(E152),AND(MONTH(TODAY())=MONTH(E152),DAY(TODAY())&lt;DAY(E152))),1,0))</f>
        <v>37</v>
      </c>
    </row>
    <row r="153" spans="1:6" x14ac:dyDescent="0.3">
      <c r="A153" s="34" t="s">
        <v>774</v>
      </c>
      <c r="B153" s="34" t="s">
        <v>775</v>
      </c>
      <c r="C153" s="34" t="s">
        <v>260</v>
      </c>
      <c r="D153" s="35" t="s">
        <v>12</v>
      </c>
      <c r="E153" s="36">
        <v>34287</v>
      </c>
      <c r="F153" s="37">
        <f ca="1">IF(T_CÓDIGO[[#This Row],[FECHA DE NACIMIENTO]]="","",YEAR(TODAY())-YEAR(T_CÓDIGO[[#This Row],[FECHA DE NACIMIENTO]])-IF(OR(MONTH(TODAY())&lt;MONTH(E153),AND(MONTH(TODAY())=MONTH(E153),DAY(TODAY())&lt;DAY(E153))),1,0))</f>
        <v>31</v>
      </c>
    </row>
    <row r="154" spans="1:6" x14ac:dyDescent="0.3">
      <c r="A154" s="34" t="s">
        <v>776</v>
      </c>
      <c r="B154" s="34" t="s">
        <v>777</v>
      </c>
      <c r="C154" s="34" t="s">
        <v>260</v>
      </c>
      <c r="D154" s="35" t="s">
        <v>12</v>
      </c>
      <c r="E154" s="36">
        <v>30946</v>
      </c>
      <c r="F154" s="37">
        <f ca="1">IF(T_CÓDIGO[[#This Row],[FECHA DE NACIMIENTO]]="","",YEAR(TODAY())-YEAR(T_CÓDIGO[[#This Row],[FECHA DE NACIMIENTO]])-IF(OR(MONTH(TODAY())&lt;MONTH(E154),AND(MONTH(TODAY())=MONTH(E154),DAY(TODAY())&lt;DAY(E154))),1,0))</f>
        <v>40</v>
      </c>
    </row>
    <row r="155" spans="1:6" x14ac:dyDescent="0.3">
      <c r="A155" s="34" t="s">
        <v>778</v>
      </c>
      <c r="B155" s="34" t="s">
        <v>779</v>
      </c>
      <c r="C155" s="34" t="s">
        <v>260</v>
      </c>
      <c r="D155" s="35" t="s">
        <v>12</v>
      </c>
      <c r="E155" s="36">
        <v>35069</v>
      </c>
      <c r="F155" s="37">
        <f ca="1">IF(T_CÓDIGO[[#This Row],[FECHA DE NACIMIENTO]]="","",YEAR(TODAY())-YEAR(T_CÓDIGO[[#This Row],[FECHA DE NACIMIENTO]])-IF(OR(MONTH(TODAY())&lt;MONTH(E155),AND(MONTH(TODAY())=MONTH(E155),DAY(TODAY())&lt;DAY(E155))),1,0))</f>
        <v>28</v>
      </c>
    </row>
    <row r="156" spans="1:6" x14ac:dyDescent="0.3">
      <c r="A156" s="34" t="s">
        <v>414</v>
      </c>
      <c r="B156" s="34">
        <v>1728911254</v>
      </c>
      <c r="C156" s="34" t="s">
        <v>340</v>
      </c>
      <c r="D156" s="35" t="s">
        <v>12</v>
      </c>
      <c r="E156" s="36">
        <v>36222</v>
      </c>
      <c r="F156" s="37">
        <f ca="1">IF(T_CÓDIGO[[#This Row],[FECHA DE NACIMIENTO]]="","",YEAR(TODAY())-YEAR(T_CÓDIGO[[#This Row],[FECHA DE NACIMIENTO]])-IF(OR(MONTH(TODAY())&lt;MONTH(E156),AND(MONTH(TODAY())=MONTH(E156),DAY(TODAY())&lt;DAY(E156))),1,0))</f>
        <v>25</v>
      </c>
    </row>
    <row r="157" spans="1:6" x14ac:dyDescent="0.3">
      <c r="A157" s="34" t="s">
        <v>415</v>
      </c>
      <c r="B157" s="34" t="s">
        <v>416</v>
      </c>
      <c r="C157" s="34" t="s">
        <v>417</v>
      </c>
      <c r="D157" s="35" t="s">
        <v>24</v>
      </c>
      <c r="E157" s="36">
        <v>36877</v>
      </c>
      <c r="F157" s="37">
        <f ca="1">IF(T_CÓDIGO[[#This Row],[FECHA DE NACIMIENTO]]="","",YEAR(TODAY())-YEAR(T_CÓDIGO[[#This Row],[FECHA DE NACIMIENTO]])-IF(OR(MONTH(TODAY())&lt;MONTH(E157),AND(MONTH(TODAY())=MONTH(E157),DAY(TODAY())&lt;DAY(E157))),1,0))</f>
        <v>23</v>
      </c>
    </row>
    <row r="158" spans="1:6" x14ac:dyDescent="0.3">
      <c r="A158" s="34" t="s">
        <v>86</v>
      </c>
      <c r="B158" s="34">
        <v>6103146830</v>
      </c>
      <c r="C158" s="34" t="s">
        <v>268</v>
      </c>
      <c r="D158" s="35" t="s">
        <v>12</v>
      </c>
      <c r="E158" s="36">
        <v>31027</v>
      </c>
      <c r="F158" s="37">
        <f ca="1">IF(T_CÓDIGO[[#This Row],[FECHA DE NACIMIENTO]]="","",YEAR(TODAY())-YEAR(T_CÓDIGO[[#This Row],[FECHA DE NACIMIENTO]])-IF(OR(MONTH(TODAY())&lt;MONTH(E158),AND(MONTH(TODAY())=MONTH(E158),DAY(TODAY())&lt;DAY(E158))),1,0))</f>
        <v>40</v>
      </c>
    </row>
    <row r="159" spans="1:6" x14ac:dyDescent="0.3">
      <c r="A159" s="34" t="s">
        <v>67</v>
      </c>
      <c r="B159" s="34">
        <v>1312305269</v>
      </c>
      <c r="C159" s="34" t="s">
        <v>276</v>
      </c>
      <c r="D159" s="35" t="s">
        <v>12</v>
      </c>
      <c r="E159" s="36">
        <v>31543</v>
      </c>
      <c r="F159" s="37">
        <f ca="1">IF(T_CÓDIGO[[#This Row],[FECHA DE NACIMIENTO]]="","",YEAR(TODAY())-YEAR(T_CÓDIGO[[#This Row],[FECHA DE NACIMIENTO]])-IF(OR(MONTH(TODAY())&lt;MONTH(E159),AND(MONTH(TODAY())=MONTH(E159),DAY(TODAY())&lt;DAY(E159))),1,0))</f>
        <v>38</v>
      </c>
    </row>
    <row r="160" spans="1:6" x14ac:dyDescent="0.3">
      <c r="A160" s="34" t="s">
        <v>142</v>
      </c>
      <c r="B160" s="34" t="s">
        <v>418</v>
      </c>
      <c r="C160" s="34" t="s">
        <v>262</v>
      </c>
      <c r="D160" s="35" t="s">
        <v>12</v>
      </c>
      <c r="E160" s="36">
        <v>35168</v>
      </c>
      <c r="F160" s="37">
        <f ca="1">IF(T_CÓDIGO[[#This Row],[FECHA DE NACIMIENTO]]="","",YEAR(TODAY())-YEAR(T_CÓDIGO[[#This Row],[FECHA DE NACIMIENTO]])-IF(OR(MONTH(TODAY())&lt;MONTH(E160),AND(MONTH(TODAY())=MONTH(E160),DAY(TODAY())&lt;DAY(E160))),1,0))</f>
        <v>28</v>
      </c>
    </row>
    <row r="161" spans="1:6" x14ac:dyDescent="0.3">
      <c r="A161" s="34" t="s">
        <v>419</v>
      </c>
      <c r="B161" s="34" t="s">
        <v>420</v>
      </c>
      <c r="C161" s="34" t="s">
        <v>262</v>
      </c>
      <c r="D161" s="35" t="s">
        <v>12</v>
      </c>
      <c r="E161" s="36">
        <v>27158</v>
      </c>
      <c r="F161" s="37">
        <f ca="1">IF(T_CÓDIGO[[#This Row],[FECHA DE NACIMIENTO]]="","",YEAR(TODAY())-YEAR(T_CÓDIGO[[#This Row],[FECHA DE NACIMIENTO]])-IF(OR(MONTH(TODAY())&lt;MONTH(E161),AND(MONTH(TODAY())=MONTH(E161),DAY(TODAY())&lt;DAY(E161))),1,0))</f>
        <v>50</v>
      </c>
    </row>
    <row r="162" spans="1:6" x14ac:dyDescent="0.3">
      <c r="A162" s="34" t="s">
        <v>138</v>
      </c>
      <c r="B162" s="34" t="s">
        <v>421</v>
      </c>
      <c r="C162" s="34" t="s">
        <v>262</v>
      </c>
      <c r="D162" s="35" t="s">
        <v>12</v>
      </c>
      <c r="E162" s="36">
        <v>32136</v>
      </c>
      <c r="F162" s="37">
        <f ca="1">IF(T_CÓDIGO[[#This Row],[FECHA DE NACIMIENTO]]="","",YEAR(TODAY())-YEAR(T_CÓDIGO[[#This Row],[FECHA DE NACIMIENTO]])-IF(OR(MONTH(TODAY())&lt;MONTH(E162),AND(MONTH(TODAY())=MONTH(E162),DAY(TODAY())&lt;DAY(E162))),1,0))</f>
        <v>36</v>
      </c>
    </row>
    <row r="163" spans="1:6" x14ac:dyDescent="0.3">
      <c r="A163" s="34" t="s">
        <v>156</v>
      </c>
      <c r="B163" s="34">
        <v>1723413694</v>
      </c>
      <c r="C163" s="34" t="s">
        <v>278</v>
      </c>
      <c r="D163" s="35" t="s">
        <v>12</v>
      </c>
      <c r="E163" s="36">
        <v>34637</v>
      </c>
      <c r="F163" s="37">
        <f ca="1">IF(T_CÓDIGO[[#This Row],[FECHA DE NACIMIENTO]]="","",YEAR(TODAY())-YEAR(T_CÓDIGO[[#This Row],[FECHA DE NACIMIENTO]])-IF(OR(MONTH(TODAY())&lt;MONTH(E163),AND(MONTH(TODAY())=MONTH(E163),DAY(TODAY())&lt;DAY(E163))),1,0))</f>
        <v>30</v>
      </c>
    </row>
    <row r="164" spans="1:6" x14ac:dyDescent="0.3">
      <c r="A164" s="34" t="s">
        <v>780</v>
      </c>
      <c r="B164" s="34" t="s">
        <v>781</v>
      </c>
      <c r="C164" s="34" t="s">
        <v>260</v>
      </c>
      <c r="D164" s="35" t="s">
        <v>12</v>
      </c>
      <c r="E164" s="36">
        <v>33013</v>
      </c>
      <c r="F164" s="37">
        <f ca="1">IF(T_CÓDIGO[[#This Row],[FECHA DE NACIMIENTO]]="","",YEAR(TODAY())-YEAR(T_CÓDIGO[[#This Row],[FECHA DE NACIMIENTO]])-IF(OR(MONTH(TODAY())&lt;MONTH(E164),AND(MONTH(TODAY())=MONTH(E164),DAY(TODAY())&lt;DAY(E164))),1,0))</f>
        <v>34</v>
      </c>
    </row>
    <row r="165" spans="1:6" x14ac:dyDescent="0.3">
      <c r="A165" s="34" t="s">
        <v>423</v>
      </c>
      <c r="B165" s="34">
        <v>1004858559</v>
      </c>
      <c r="C165" s="34" t="s">
        <v>271</v>
      </c>
      <c r="D165" s="35" t="s">
        <v>12</v>
      </c>
      <c r="E165" s="36">
        <v>35374</v>
      </c>
      <c r="F165" s="37">
        <f ca="1">IF(T_CÓDIGO[[#This Row],[FECHA DE NACIMIENTO]]="","",YEAR(TODAY())-YEAR(T_CÓDIGO[[#This Row],[FECHA DE NACIMIENTO]])-IF(OR(MONTH(TODAY())&lt;MONTH(E165),AND(MONTH(TODAY())=MONTH(E165),DAY(TODAY())&lt;DAY(E165))),1,0))</f>
        <v>28</v>
      </c>
    </row>
    <row r="166" spans="1:6" x14ac:dyDescent="0.3">
      <c r="A166" s="34" t="s">
        <v>95</v>
      </c>
      <c r="B166" s="34" t="s">
        <v>424</v>
      </c>
      <c r="C166" s="34" t="s">
        <v>268</v>
      </c>
      <c r="D166" s="35" t="s">
        <v>12</v>
      </c>
      <c r="E166" s="36">
        <v>31246</v>
      </c>
      <c r="F166" s="37">
        <f ca="1">IF(T_CÓDIGO[[#This Row],[FECHA DE NACIMIENTO]]="","",YEAR(TODAY())-YEAR(T_CÓDIGO[[#This Row],[FECHA DE NACIMIENTO]])-IF(OR(MONTH(TODAY())&lt;MONTH(E166),AND(MONTH(TODAY())=MONTH(E166),DAY(TODAY())&lt;DAY(E166))),1,0))</f>
        <v>39</v>
      </c>
    </row>
    <row r="167" spans="1:6" x14ac:dyDescent="0.3">
      <c r="A167" s="34" t="s">
        <v>425</v>
      </c>
      <c r="B167" s="34">
        <v>6105515396</v>
      </c>
      <c r="C167" s="34" t="s">
        <v>271</v>
      </c>
      <c r="D167" s="35" t="s">
        <v>12</v>
      </c>
      <c r="E167" s="36">
        <v>30936</v>
      </c>
      <c r="F167" s="37">
        <f ca="1">IF(T_CÓDIGO[[#This Row],[FECHA DE NACIMIENTO]]="","",YEAR(TODAY())-YEAR(T_CÓDIGO[[#This Row],[FECHA DE NACIMIENTO]])-IF(OR(MONTH(TODAY())&lt;MONTH(E167),AND(MONTH(TODAY())=MONTH(E167),DAY(TODAY())&lt;DAY(E167))),1,0))</f>
        <v>40</v>
      </c>
    </row>
    <row r="168" spans="1:6" x14ac:dyDescent="0.3">
      <c r="A168" s="34" t="s">
        <v>426</v>
      </c>
      <c r="B168" s="34">
        <v>1714952718</v>
      </c>
      <c r="C168" s="34" t="s">
        <v>427</v>
      </c>
      <c r="D168" s="35" t="s">
        <v>12</v>
      </c>
      <c r="E168" s="36">
        <v>28396</v>
      </c>
      <c r="F168" s="37">
        <f ca="1">IF(T_CÓDIGO[[#This Row],[FECHA DE NACIMIENTO]]="","",YEAR(TODAY())-YEAR(T_CÓDIGO[[#This Row],[FECHA DE NACIMIENTO]])-IF(OR(MONTH(TODAY())&lt;MONTH(E168),AND(MONTH(TODAY())=MONTH(E168),DAY(TODAY())&lt;DAY(E168))),1,0))</f>
        <v>47</v>
      </c>
    </row>
    <row r="169" spans="1:6" x14ac:dyDescent="0.3">
      <c r="A169" s="34" t="s">
        <v>428</v>
      </c>
      <c r="B169" s="34">
        <v>1716466351</v>
      </c>
      <c r="C169" s="34" t="s">
        <v>300</v>
      </c>
      <c r="D169" s="35" t="s">
        <v>24</v>
      </c>
      <c r="E169" s="36">
        <v>30362</v>
      </c>
      <c r="F169" s="37">
        <f ca="1">IF(T_CÓDIGO[[#This Row],[FECHA DE NACIMIENTO]]="","",YEAR(TODAY())-YEAR(T_CÓDIGO[[#This Row],[FECHA DE NACIMIENTO]])-IF(OR(MONTH(TODAY())&lt;MONTH(E169),AND(MONTH(TODAY())=MONTH(E169),DAY(TODAY())&lt;DAY(E169))),1,0))</f>
        <v>41</v>
      </c>
    </row>
    <row r="170" spans="1:6" x14ac:dyDescent="0.3">
      <c r="A170" s="34" t="s">
        <v>22</v>
      </c>
      <c r="B170" s="34" t="s">
        <v>430</v>
      </c>
      <c r="C170" s="34" t="s">
        <v>431</v>
      </c>
      <c r="D170" s="35" t="s">
        <v>12</v>
      </c>
      <c r="E170" s="36">
        <v>32966</v>
      </c>
      <c r="F170" s="37">
        <f ca="1">IF(T_CÓDIGO[[#This Row],[FECHA DE NACIMIENTO]]="","",YEAR(TODAY())-YEAR(T_CÓDIGO[[#This Row],[FECHA DE NACIMIENTO]])-IF(OR(MONTH(TODAY())&lt;MONTH(E170),AND(MONTH(TODAY())=MONTH(E170),DAY(TODAY())&lt;DAY(E170))),1,0))</f>
        <v>34</v>
      </c>
    </row>
    <row r="171" spans="1:6" x14ac:dyDescent="0.3">
      <c r="A171" s="34" t="s">
        <v>155</v>
      </c>
      <c r="B171" s="34" t="s">
        <v>432</v>
      </c>
      <c r="C171" s="34" t="s">
        <v>260</v>
      </c>
      <c r="D171" s="35" t="s">
        <v>12</v>
      </c>
      <c r="E171" s="36">
        <v>32519</v>
      </c>
      <c r="F171" s="37">
        <f ca="1">IF(T_CÓDIGO[[#This Row],[FECHA DE NACIMIENTO]]="","",YEAR(TODAY())-YEAR(T_CÓDIGO[[#This Row],[FECHA DE NACIMIENTO]])-IF(OR(MONTH(TODAY())&lt;MONTH(E171),AND(MONTH(TODAY())=MONTH(E171),DAY(TODAY())&lt;DAY(E171))),1,0))</f>
        <v>35</v>
      </c>
    </row>
    <row r="172" spans="1:6" x14ac:dyDescent="0.3">
      <c r="A172" s="34" t="s">
        <v>434</v>
      </c>
      <c r="B172" s="34">
        <v>1003678503</v>
      </c>
      <c r="C172" s="34" t="s">
        <v>260</v>
      </c>
      <c r="D172" s="35" t="s">
        <v>12</v>
      </c>
      <c r="E172" s="36">
        <v>37136</v>
      </c>
      <c r="F172" s="37">
        <f ca="1">IF(T_CÓDIGO[[#This Row],[FECHA DE NACIMIENTO]]="","",YEAR(TODAY())-YEAR(T_CÓDIGO[[#This Row],[FECHA DE NACIMIENTO]])-IF(OR(MONTH(TODAY())&lt;MONTH(E172),AND(MONTH(TODAY())=MONTH(E172),DAY(TODAY())&lt;DAY(E172))),1,0))</f>
        <v>23</v>
      </c>
    </row>
    <row r="173" spans="1:6" x14ac:dyDescent="0.3">
      <c r="A173" s="34" t="s">
        <v>90</v>
      </c>
      <c r="B173" s="34">
        <v>1003584271</v>
      </c>
      <c r="C173" s="34" t="s">
        <v>260</v>
      </c>
      <c r="D173" s="35" t="s">
        <v>12</v>
      </c>
      <c r="E173" s="36">
        <v>31483</v>
      </c>
      <c r="F173" s="37">
        <f ca="1">IF(T_CÓDIGO[[#This Row],[FECHA DE NACIMIENTO]]="","",YEAR(TODAY())-YEAR(T_CÓDIGO[[#This Row],[FECHA DE NACIMIENTO]])-IF(OR(MONTH(TODAY())&lt;MONTH(E173),AND(MONTH(TODAY())=MONTH(E173),DAY(TODAY())&lt;DAY(E173))),1,0))</f>
        <v>38</v>
      </c>
    </row>
    <row r="174" spans="1:6" x14ac:dyDescent="0.3">
      <c r="A174" s="34" t="s">
        <v>693</v>
      </c>
      <c r="B174" s="34" t="s">
        <v>782</v>
      </c>
      <c r="C174" s="34" t="s">
        <v>260</v>
      </c>
      <c r="D174" s="35" t="s">
        <v>12</v>
      </c>
      <c r="E174" s="36">
        <v>35726</v>
      </c>
      <c r="F174" s="37">
        <f ca="1">IF(T_CÓDIGO[[#This Row],[FECHA DE NACIMIENTO]]="","",YEAR(TODAY())-YEAR(T_CÓDIGO[[#This Row],[FECHA DE NACIMIENTO]])-IF(OR(MONTH(TODAY())&lt;MONTH(E174),AND(MONTH(TODAY())=MONTH(E174),DAY(TODAY())&lt;DAY(E174))),1,0))</f>
        <v>27</v>
      </c>
    </row>
    <row r="175" spans="1:6" x14ac:dyDescent="0.3">
      <c r="A175" s="34" t="s">
        <v>435</v>
      </c>
      <c r="B175" s="34" t="s">
        <v>436</v>
      </c>
      <c r="C175" s="34" t="s">
        <v>783</v>
      </c>
      <c r="D175" s="35" t="s">
        <v>24</v>
      </c>
      <c r="E175" s="36">
        <v>35350</v>
      </c>
      <c r="F175" s="37">
        <f ca="1">IF(T_CÓDIGO[[#This Row],[FECHA DE NACIMIENTO]]="","",YEAR(TODAY())-YEAR(T_CÓDIGO[[#This Row],[FECHA DE NACIMIENTO]])-IF(OR(MONTH(TODAY())&lt;MONTH(E175),AND(MONTH(TODAY())=MONTH(E175),DAY(TODAY())&lt;DAY(E175))),1,0))</f>
        <v>28</v>
      </c>
    </row>
    <row r="176" spans="1:6" x14ac:dyDescent="0.3">
      <c r="A176" s="34" t="s">
        <v>108</v>
      </c>
      <c r="B176" s="34">
        <v>1722853163</v>
      </c>
      <c r="C176" s="34" t="s">
        <v>431</v>
      </c>
      <c r="D176" s="35" t="s">
        <v>24</v>
      </c>
      <c r="E176" s="36">
        <v>34669</v>
      </c>
      <c r="F176" s="37">
        <f ca="1">IF(T_CÓDIGO[[#This Row],[FECHA DE NACIMIENTO]]="","",YEAR(TODAY())-YEAR(T_CÓDIGO[[#This Row],[FECHA DE NACIMIENTO]])-IF(OR(MONTH(TODAY())&lt;MONTH(E176),AND(MONTH(TODAY())=MONTH(E176),DAY(TODAY())&lt;DAY(E176))),1,0))</f>
        <v>30</v>
      </c>
    </row>
    <row r="177" spans="1:6" x14ac:dyDescent="0.3">
      <c r="A177" s="34" t="s">
        <v>139</v>
      </c>
      <c r="B177" s="34">
        <v>1003687942</v>
      </c>
      <c r="C177" s="34" t="s">
        <v>271</v>
      </c>
      <c r="D177" s="35" t="s">
        <v>12</v>
      </c>
      <c r="E177" s="36">
        <v>31766</v>
      </c>
      <c r="F177" s="37">
        <f ca="1">IF(T_CÓDIGO[[#This Row],[FECHA DE NACIMIENTO]]="","",YEAR(TODAY())-YEAR(T_CÓDIGO[[#This Row],[FECHA DE NACIMIENTO]])-IF(OR(MONTH(TODAY())&lt;MONTH(E177),AND(MONTH(TODAY())=MONTH(E177),DAY(TODAY())&lt;DAY(E177))),1,0))</f>
        <v>37</v>
      </c>
    </row>
    <row r="178" spans="1:6" x14ac:dyDescent="0.3">
      <c r="A178" s="34" t="s">
        <v>437</v>
      </c>
      <c r="B178" s="34" t="s">
        <v>438</v>
      </c>
      <c r="C178" s="34" t="s">
        <v>277</v>
      </c>
      <c r="D178" s="35" t="s">
        <v>12</v>
      </c>
      <c r="E178" s="36">
        <v>32024</v>
      </c>
      <c r="F178" s="37">
        <f ca="1">IF(T_CÓDIGO[[#This Row],[FECHA DE NACIMIENTO]]="","",YEAR(TODAY())-YEAR(T_CÓDIGO[[#This Row],[FECHA DE NACIMIENTO]])-IF(OR(MONTH(TODAY())&lt;MONTH(E178),AND(MONTH(TODAY())=MONTH(E178),DAY(TODAY())&lt;DAY(E178))),1,0))</f>
        <v>37</v>
      </c>
    </row>
    <row r="179" spans="1:6" x14ac:dyDescent="0.3">
      <c r="A179" s="34" t="s">
        <v>784</v>
      </c>
      <c r="B179" s="34" t="s">
        <v>785</v>
      </c>
      <c r="C179" s="34" t="s">
        <v>260</v>
      </c>
      <c r="D179" s="35" t="s">
        <v>12</v>
      </c>
      <c r="E179" s="36">
        <v>36644</v>
      </c>
      <c r="F179" s="37">
        <f ca="1">IF(T_CÓDIGO[[#This Row],[FECHA DE NACIMIENTO]]="","",YEAR(TODAY())-YEAR(T_CÓDIGO[[#This Row],[FECHA DE NACIMIENTO]])-IF(OR(MONTH(TODAY())&lt;MONTH(E179),AND(MONTH(TODAY())=MONTH(E179),DAY(TODAY())&lt;DAY(E179))),1,0))</f>
        <v>24</v>
      </c>
    </row>
    <row r="180" spans="1:6" x14ac:dyDescent="0.3">
      <c r="A180" s="34" t="s">
        <v>76</v>
      </c>
      <c r="B180" s="34" t="s">
        <v>439</v>
      </c>
      <c r="C180" s="34" t="s">
        <v>277</v>
      </c>
      <c r="D180" s="35" t="s">
        <v>12</v>
      </c>
      <c r="E180" s="36">
        <v>34513</v>
      </c>
      <c r="F180" s="37">
        <f ca="1">IF(T_CÓDIGO[[#This Row],[FECHA DE NACIMIENTO]]="","",YEAR(TODAY())-YEAR(T_CÓDIGO[[#This Row],[FECHA DE NACIMIENTO]])-IF(OR(MONTH(TODAY())&lt;MONTH(E180),AND(MONTH(TODAY())=MONTH(E180),DAY(TODAY())&lt;DAY(E180))),1,0))</f>
        <v>30</v>
      </c>
    </row>
    <row r="181" spans="1:6" x14ac:dyDescent="0.3">
      <c r="A181" s="34" t="s">
        <v>786</v>
      </c>
      <c r="B181" s="34" t="s">
        <v>787</v>
      </c>
      <c r="C181" s="34" t="s">
        <v>260</v>
      </c>
      <c r="D181" s="35" t="s">
        <v>12</v>
      </c>
      <c r="E181" s="36">
        <v>32010</v>
      </c>
      <c r="F181" s="37">
        <f ca="1">IF(T_CÓDIGO[[#This Row],[FECHA DE NACIMIENTO]]="","",YEAR(TODAY())-YEAR(T_CÓDIGO[[#This Row],[FECHA DE NACIMIENTO]])-IF(OR(MONTH(TODAY())&lt;MONTH(E181),AND(MONTH(TODAY())=MONTH(E181),DAY(TODAY())&lt;DAY(E181))),1,0))</f>
        <v>37</v>
      </c>
    </row>
    <row r="182" spans="1:6" x14ac:dyDescent="0.3">
      <c r="A182" s="34" t="s">
        <v>788</v>
      </c>
      <c r="B182" s="34" t="s">
        <v>789</v>
      </c>
      <c r="C182" s="34" t="s">
        <v>271</v>
      </c>
      <c r="D182" s="35" t="s">
        <v>12</v>
      </c>
      <c r="E182" s="36" t="s">
        <v>790</v>
      </c>
      <c r="F182" s="37">
        <f ca="1">IF(T_CÓDIGO[[#This Row],[FECHA DE NACIMIENTO]]="","",YEAR(TODAY())-YEAR(T_CÓDIGO[[#This Row],[FECHA DE NACIMIENTO]])-IF(OR(MONTH(TODAY())&lt;MONTH(E182),AND(MONTH(TODAY())=MONTH(E182),DAY(TODAY())&lt;DAY(E182))),1,0))</f>
        <v>39</v>
      </c>
    </row>
    <row r="183" spans="1:6" x14ac:dyDescent="0.3">
      <c r="A183" s="34" t="s">
        <v>791</v>
      </c>
      <c r="B183" s="34" t="s">
        <v>792</v>
      </c>
      <c r="C183" s="34" t="s">
        <v>260</v>
      </c>
      <c r="D183" s="35" t="s">
        <v>12</v>
      </c>
      <c r="E183" s="36">
        <v>32387</v>
      </c>
      <c r="F183" s="37">
        <f ca="1">IF(T_CÓDIGO[[#This Row],[FECHA DE NACIMIENTO]]="","",YEAR(TODAY())-YEAR(T_CÓDIGO[[#This Row],[FECHA DE NACIMIENTO]])-IF(OR(MONTH(TODAY())&lt;MONTH(E183),AND(MONTH(TODAY())=MONTH(E183),DAY(TODAY())&lt;DAY(E183))),1,0))</f>
        <v>36</v>
      </c>
    </row>
    <row r="184" spans="1:6" x14ac:dyDescent="0.3">
      <c r="A184" s="34" t="s">
        <v>674</v>
      </c>
      <c r="B184" s="34" t="s">
        <v>675</v>
      </c>
      <c r="C184" s="34" t="s">
        <v>278</v>
      </c>
      <c r="D184" s="35" t="s">
        <v>12</v>
      </c>
      <c r="E184" s="36">
        <v>34787</v>
      </c>
      <c r="F184" s="37">
        <f ca="1">IF(T_CÓDIGO[[#This Row],[FECHA DE NACIMIENTO]]="","",YEAR(TODAY())-YEAR(T_CÓDIGO[[#This Row],[FECHA DE NACIMIENTO]])-IF(OR(MONTH(TODAY())&lt;MONTH(E184),AND(MONTH(TODAY())=MONTH(E184),DAY(TODAY())&lt;DAY(E184))),1,0))</f>
        <v>29</v>
      </c>
    </row>
    <row r="185" spans="1:6" x14ac:dyDescent="0.3">
      <c r="A185" s="34" t="s">
        <v>793</v>
      </c>
      <c r="B185" s="34" t="s">
        <v>794</v>
      </c>
      <c r="C185" s="34" t="s">
        <v>279</v>
      </c>
      <c r="D185" s="35" t="s">
        <v>12</v>
      </c>
      <c r="E185" s="36">
        <v>37149</v>
      </c>
      <c r="F185" s="37">
        <f ca="1">IF(T_CÓDIGO[[#This Row],[FECHA DE NACIMIENTO]]="","",YEAR(TODAY())-YEAR(T_CÓDIGO[[#This Row],[FECHA DE NACIMIENTO]])-IF(OR(MONTH(TODAY())&lt;MONTH(E185),AND(MONTH(TODAY())=MONTH(E185),DAY(TODAY())&lt;DAY(E185))),1,0))</f>
        <v>23</v>
      </c>
    </row>
    <row r="186" spans="1:6" x14ac:dyDescent="0.3">
      <c r="A186" s="34" t="s">
        <v>440</v>
      </c>
      <c r="B186" s="34" t="s">
        <v>441</v>
      </c>
      <c r="C186" s="34" t="s">
        <v>277</v>
      </c>
      <c r="D186" s="35" t="s">
        <v>12</v>
      </c>
      <c r="E186" s="36">
        <v>36033</v>
      </c>
      <c r="F186" s="37">
        <f ca="1">IF(T_CÓDIGO[[#This Row],[FECHA DE NACIMIENTO]]="","",YEAR(TODAY())-YEAR(T_CÓDIGO[[#This Row],[FECHA DE NACIMIENTO]])-IF(OR(MONTH(TODAY())&lt;MONTH(E186),AND(MONTH(TODAY())=MONTH(E186),DAY(TODAY())&lt;DAY(E186))),1,0))</f>
        <v>26</v>
      </c>
    </row>
    <row r="187" spans="1:6" x14ac:dyDescent="0.3">
      <c r="A187" s="34" t="s">
        <v>668</v>
      </c>
      <c r="B187" s="34" t="s">
        <v>669</v>
      </c>
      <c r="C187" s="34" t="s">
        <v>431</v>
      </c>
      <c r="D187" s="35" t="s">
        <v>24</v>
      </c>
      <c r="E187" s="36">
        <v>34654</v>
      </c>
      <c r="F187" s="37">
        <f ca="1">IF(T_CÓDIGO[[#This Row],[FECHA DE NACIMIENTO]]="","",YEAR(TODAY())-YEAR(T_CÓDIGO[[#This Row],[FECHA DE NACIMIENTO]])-IF(OR(MONTH(TODAY())&lt;MONTH(E187),AND(MONTH(TODAY())=MONTH(E187),DAY(TODAY())&lt;DAY(E187))),1,0))</f>
        <v>30</v>
      </c>
    </row>
    <row r="188" spans="1:6" x14ac:dyDescent="0.3">
      <c r="A188" s="34" t="s">
        <v>442</v>
      </c>
      <c r="B188" s="34" t="s">
        <v>443</v>
      </c>
      <c r="C188" s="34" t="s">
        <v>260</v>
      </c>
      <c r="D188" s="35" t="s">
        <v>12</v>
      </c>
      <c r="E188" s="36">
        <v>31291</v>
      </c>
      <c r="F188" s="37">
        <f ca="1">IF(T_CÓDIGO[[#This Row],[FECHA DE NACIMIENTO]]="","",YEAR(TODAY())-YEAR(T_CÓDIGO[[#This Row],[FECHA DE NACIMIENTO]])-IF(OR(MONTH(TODAY())&lt;MONTH(E188),AND(MONTH(TODAY())=MONTH(E188),DAY(TODAY())&lt;DAY(E188))),1,0))</f>
        <v>39</v>
      </c>
    </row>
    <row r="189" spans="1:6" x14ac:dyDescent="0.3">
      <c r="A189" s="34" t="s">
        <v>58</v>
      </c>
      <c r="B189" s="34">
        <v>1750962142</v>
      </c>
      <c r="C189" s="34" t="s">
        <v>431</v>
      </c>
      <c r="D189" s="35" t="s">
        <v>24</v>
      </c>
      <c r="E189" s="36">
        <v>34688</v>
      </c>
      <c r="F189" s="37">
        <f ca="1">IF(T_CÓDIGO[[#This Row],[FECHA DE NACIMIENTO]]="","",YEAR(TODAY())-YEAR(T_CÓDIGO[[#This Row],[FECHA DE NACIMIENTO]])-IF(OR(MONTH(TODAY())&lt;MONTH(E189),AND(MONTH(TODAY())=MONTH(E189),DAY(TODAY())&lt;DAY(E189))),1,0))</f>
        <v>29</v>
      </c>
    </row>
    <row r="190" spans="1:6" x14ac:dyDescent="0.3">
      <c r="A190" s="34" t="s">
        <v>445</v>
      </c>
      <c r="B190" s="34">
        <v>1105430639</v>
      </c>
      <c r="C190" s="34" t="s">
        <v>260</v>
      </c>
      <c r="D190" s="35" t="s">
        <v>12</v>
      </c>
      <c r="E190" s="36">
        <v>36343</v>
      </c>
      <c r="F190" s="37">
        <f ca="1">IF(T_CÓDIGO[[#This Row],[FECHA DE NACIMIENTO]]="","",YEAR(TODAY())-YEAR(T_CÓDIGO[[#This Row],[FECHA DE NACIMIENTO]])-IF(OR(MONTH(TODAY())&lt;MONTH(E190),AND(MONTH(TODAY())=MONTH(E190),DAY(TODAY())&lt;DAY(E190))),1,0))</f>
        <v>25</v>
      </c>
    </row>
    <row r="191" spans="1:6" x14ac:dyDescent="0.3">
      <c r="A191" s="34" t="s">
        <v>795</v>
      </c>
      <c r="B191" s="34" t="s">
        <v>796</v>
      </c>
      <c r="C191" s="34" t="s">
        <v>260</v>
      </c>
      <c r="D191" s="35" t="s">
        <v>12</v>
      </c>
      <c r="E191" s="36">
        <v>37263</v>
      </c>
      <c r="F191" s="37">
        <f ca="1">IF(T_CÓDIGO[[#This Row],[FECHA DE NACIMIENTO]]="","",YEAR(TODAY())-YEAR(T_CÓDIGO[[#This Row],[FECHA DE NACIMIENTO]])-IF(OR(MONTH(TODAY())&lt;MONTH(E191),AND(MONTH(TODAY())=MONTH(E191),DAY(TODAY())&lt;DAY(E191))),1,0))</f>
        <v>22</v>
      </c>
    </row>
    <row r="192" spans="1:6" x14ac:dyDescent="0.3">
      <c r="A192" s="34" t="s">
        <v>16</v>
      </c>
      <c r="B192" s="34" t="s">
        <v>446</v>
      </c>
      <c r="C192" s="34" t="s">
        <v>262</v>
      </c>
      <c r="D192" s="35" t="s">
        <v>12</v>
      </c>
      <c r="E192" s="36">
        <v>31832</v>
      </c>
      <c r="F192" s="37">
        <f ca="1">IF(T_CÓDIGO[[#This Row],[FECHA DE NACIMIENTO]]="","",YEAR(TODAY())-YEAR(T_CÓDIGO[[#This Row],[FECHA DE NACIMIENTO]])-IF(OR(MONTH(TODAY())&lt;MONTH(E192),AND(MONTH(TODAY())=MONTH(E192),DAY(TODAY())&lt;DAY(E192))),1,0))</f>
        <v>37</v>
      </c>
    </row>
    <row r="193" spans="1:6" x14ac:dyDescent="0.3">
      <c r="A193" s="34" t="s">
        <v>172</v>
      </c>
      <c r="B193" s="34" t="s">
        <v>447</v>
      </c>
      <c r="C193" s="34" t="s">
        <v>262</v>
      </c>
      <c r="D193" s="35" t="s">
        <v>12</v>
      </c>
      <c r="E193" s="36">
        <v>32277</v>
      </c>
      <c r="F193" s="37">
        <f ca="1">IF(T_CÓDIGO[[#This Row],[FECHA DE NACIMIENTO]]="","",YEAR(TODAY())-YEAR(T_CÓDIGO[[#This Row],[FECHA DE NACIMIENTO]])-IF(OR(MONTH(TODAY())&lt;MONTH(E193),AND(MONTH(TODAY())=MONTH(E193),DAY(TODAY())&lt;DAY(E193))),1,0))</f>
        <v>36</v>
      </c>
    </row>
    <row r="194" spans="1:6" x14ac:dyDescent="0.3">
      <c r="A194" s="34" t="s">
        <v>47</v>
      </c>
      <c r="B194" s="34" t="s">
        <v>448</v>
      </c>
      <c r="C194" s="34" t="s">
        <v>262</v>
      </c>
      <c r="D194" s="35" t="s">
        <v>12</v>
      </c>
      <c r="E194" s="36">
        <v>33020</v>
      </c>
      <c r="F194" s="37">
        <f ca="1">IF(T_CÓDIGO[[#This Row],[FECHA DE NACIMIENTO]]="","",YEAR(TODAY())-YEAR(T_CÓDIGO[[#This Row],[FECHA DE NACIMIENTO]])-IF(OR(MONTH(TODAY())&lt;MONTH(E194),AND(MONTH(TODAY())=MONTH(E194),DAY(TODAY())&lt;DAY(E194))),1,0))</f>
        <v>34</v>
      </c>
    </row>
    <row r="195" spans="1:6" x14ac:dyDescent="0.3">
      <c r="A195" s="34" t="s">
        <v>449</v>
      </c>
      <c r="B195" s="34" t="s">
        <v>450</v>
      </c>
      <c r="C195" s="34" t="s">
        <v>262</v>
      </c>
      <c r="D195" s="35" t="s">
        <v>12</v>
      </c>
      <c r="E195" s="36">
        <v>38187</v>
      </c>
      <c r="F195" s="37">
        <f ca="1">IF(T_CÓDIGO[[#This Row],[FECHA DE NACIMIENTO]]="","",YEAR(TODAY())-YEAR(T_CÓDIGO[[#This Row],[FECHA DE NACIMIENTO]])-IF(OR(MONTH(TODAY())&lt;MONTH(E195),AND(MONTH(TODAY())=MONTH(E195),DAY(TODAY())&lt;DAY(E195))),1,0))</f>
        <v>20</v>
      </c>
    </row>
    <row r="196" spans="1:6" x14ac:dyDescent="0.3">
      <c r="A196" s="34" t="s">
        <v>451</v>
      </c>
      <c r="B196" s="34">
        <v>1004107551</v>
      </c>
      <c r="C196" s="34" t="s">
        <v>260</v>
      </c>
      <c r="D196" s="35" t="s">
        <v>12</v>
      </c>
      <c r="E196" s="36">
        <v>29656</v>
      </c>
      <c r="F196" s="37">
        <f ca="1">IF(T_CÓDIGO[[#This Row],[FECHA DE NACIMIENTO]]="","",YEAR(TODAY())-YEAR(T_CÓDIGO[[#This Row],[FECHA DE NACIMIENTO]])-IF(OR(MONTH(TODAY())&lt;MONTH(E196),AND(MONTH(TODAY())=MONTH(E196),DAY(TODAY())&lt;DAY(E196))),1,0))</f>
        <v>43</v>
      </c>
    </row>
    <row r="197" spans="1:6" x14ac:dyDescent="0.3">
      <c r="A197" s="34" t="s">
        <v>77</v>
      </c>
      <c r="B197" s="34" t="s">
        <v>452</v>
      </c>
      <c r="C197" s="34" t="s">
        <v>262</v>
      </c>
      <c r="D197" s="35" t="s">
        <v>12</v>
      </c>
      <c r="E197" s="36">
        <v>29656</v>
      </c>
      <c r="F197" s="37">
        <f ca="1">IF(T_CÓDIGO[[#This Row],[FECHA DE NACIMIENTO]]="","",YEAR(TODAY())-YEAR(T_CÓDIGO[[#This Row],[FECHA DE NACIMIENTO]])-IF(OR(MONTH(TODAY())&lt;MONTH(E197),AND(MONTH(TODAY())=MONTH(E197),DAY(TODAY())&lt;DAY(E197))),1,0))</f>
        <v>43</v>
      </c>
    </row>
    <row r="198" spans="1:6" x14ac:dyDescent="0.3">
      <c r="A198" s="34" t="s">
        <v>453</v>
      </c>
      <c r="B198" s="34" t="s">
        <v>454</v>
      </c>
      <c r="C198" s="34" t="s">
        <v>262</v>
      </c>
      <c r="D198" s="35" t="s">
        <v>12</v>
      </c>
      <c r="E198" s="36">
        <v>28960</v>
      </c>
      <c r="F198" s="37">
        <f ca="1">IF(T_CÓDIGO[[#This Row],[FECHA DE NACIMIENTO]]="","",YEAR(TODAY())-YEAR(T_CÓDIGO[[#This Row],[FECHA DE NACIMIENTO]])-IF(OR(MONTH(TODAY())&lt;MONTH(E198),AND(MONTH(TODAY())=MONTH(E198),DAY(TODAY())&lt;DAY(E198))),1,0))</f>
        <v>45</v>
      </c>
    </row>
    <row r="199" spans="1:6" x14ac:dyDescent="0.3">
      <c r="A199" s="34" t="s">
        <v>797</v>
      </c>
      <c r="B199" s="34">
        <v>1900832484</v>
      </c>
      <c r="C199" s="34" t="s">
        <v>277</v>
      </c>
      <c r="D199" s="35" t="s">
        <v>12</v>
      </c>
      <c r="E199" s="36">
        <v>35246</v>
      </c>
      <c r="F199" s="37">
        <f ca="1">IF(T_CÓDIGO[[#This Row],[FECHA DE NACIMIENTO]]="","",YEAR(TODAY())-YEAR(T_CÓDIGO[[#This Row],[FECHA DE NACIMIENTO]])-IF(OR(MONTH(TODAY())&lt;MONTH(E199),AND(MONTH(TODAY())=MONTH(E199),DAY(TODAY())&lt;DAY(E199))),1,0))</f>
        <v>28</v>
      </c>
    </row>
    <row r="200" spans="1:6" x14ac:dyDescent="0.3">
      <c r="A200" s="34" t="s">
        <v>455</v>
      </c>
      <c r="B200" s="34">
        <v>1900676832</v>
      </c>
      <c r="C200" s="34" t="s">
        <v>277</v>
      </c>
      <c r="D200" s="35" t="s">
        <v>12</v>
      </c>
      <c r="E200" s="36">
        <v>27952</v>
      </c>
      <c r="F200" s="37">
        <f ca="1">IF(T_CÓDIGO[[#This Row],[FECHA DE NACIMIENTO]]="","",YEAR(TODAY())-YEAR(T_CÓDIGO[[#This Row],[FECHA DE NACIMIENTO]])-IF(OR(MONTH(TODAY())&lt;MONTH(E200),AND(MONTH(TODAY())=MONTH(E200),DAY(TODAY())&lt;DAY(E200))),1,0))</f>
        <v>48</v>
      </c>
    </row>
    <row r="201" spans="1:6" x14ac:dyDescent="0.3">
      <c r="A201" s="34" t="s">
        <v>456</v>
      </c>
      <c r="B201" s="34" t="s">
        <v>457</v>
      </c>
      <c r="C201" s="34" t="s">
        <v>262</v>
      </c>
      <c r="D201" s="35" t="s">
        <v>12</v>
      </c>
      <c r="E201" s="36">
        <v>27952</v>
      </c>
      <c r="F201" s="37">
        <f ca="1">IF(T_CÓDIGO[[#This Row],[FECHA DE NACIMIENTO]]="","",YEAR(TODAY())-YEAR(T_CÓDIGO[[#This Row],[FECHA DE NACIMIENTO]])-IF(OR(MONTH(TODAY())&lt;MONTH(E201),AND(MONTH(TODAY())=MONTH(E201),DAY(TODAY())&lt;DAY(E201))),1,0))</f>
        <v>48</v>
      </c>
    </row>
    <row r="202" spans="1:6" x14ac:dyDescent="0.3">
      <c r="A202" s="34" t="s">
        <v>458</v>
      </c>
      <c r="B202" s="34" t="s">
        <v>459</v>
      </c>
      <c r="C202" s="34" t="s">
        <v>262</v>
      </c>
      <c r="D202" s="35" t="s">
        <v>12</v>
      </c>
      <c r="E202" s="36">
        <v>27920</v>
      </c>
      <c r="F202" s="37">
        <f ca="1">IF(T_CÓDIGO[[#This Row],[FECHA DE NACIMIENTO]]="","",YEAR(TODAY())-YEAR(T_CÓDIGO[[#This Row],[FECHA DE NACIMIENTO]])-IF(OR(MONTH(TODAY())&lt;MONTH(E202),AND(MONTH(TODAY())=MONTH(E202),DAY(TODAY())&lt;DAY(E202))),1,0))</f>
        <v>48</v>
      </c>
    </row>
    <row r="203" spans="1:6" x14ac:dyDescent="0.3">
      <c r="A203" s="34" t="s">
        <v>79</v>
      </c>
      <c r="B203" s="34" t="s">
        <v>460</v>
      </c>
      <c r="C203" s="34" t="s">
        <v>262</v>
      </c>
      <c r="D203" s="35" t="s">
        <v>12</v>
      </c>
      <c r="E203" s="36">
        <v>35547</v>
      </c>
      <c r="F203" s="37">
        <f ca="1">IF(T_CÓDIGO[[#This Row],[FECHA DE NACIMIENTO]]="","",YEAR(TODAY())-YEAR(T_CÓDIGO[[#This Row],[FECHA DE NACIMIENTO]])-IF(OR(MONTH(TODAY())&lt;MONTH(E203),AND(MONTH(TODAY())=MONTH(E203),DAY(TODAY())&lt;DAY(E203))),1,0))</f>
        <v>27</v>
      </c>
    </row>
    <row r="204" spans="1:6" x14ac:dyDescent="0.3">
      <c r="A204" s="34" t="s">
        <v>43</v>
      </c>
      <c r="B204" s="34" t="s">
        <v>461</v>
      </c>
      <c r="C204" s="34" t="s">
        <v>262</v>
      </c>
      <c r="D204" s="35" t="s">
        <v>12</v>
      </c>
      <c r="E204" s="36">
        <v>30343</v>
      </c>
      <c r="F204" s="37">
        <f ca="1">IF(T_CÓDIGO[[#This Row],[FECHA DE NACIMIENTO]]="","",YEAR(TODAY())-YEAR(T_CÓDIGO[[#This Row],[FECHA DE NACIMIENTO]])-IF(OR(MONTH(TODAY())&lt;MONTH(E204),AND(MONTH(TODAY())=MONTH(E204),DAY(TODAY())&lt;DAY(E204))),1,0))</f>
        <v>41</v>
      </c>
    </row>
    <row r="205" spans="1:6" x14ac:dyDescent="0.3">
      <c r="A205" s="34" t="s">
        <v>33</v>
      </c>
      <c r="B205" s="34" t="s">
        <v>462</v>
      </c>
      <c r="C205" s="34" t="s">
        <v>262</v>
      </c>
      <c r="D205" s="35" t="s">
        <v>12</v>
      </c>
      <c r="E205" s="36">
        <v>32980</v>
      </c>
      <c r="F205" s="37">
        <f ca="1">IF(T_CÓDIGO[[#This Row],[FECHA DE NACIMIENTO]]="","",YEAR(TODAY())-YEAR(T_CÓDIGO[[#This Row],[FECHA DE NACIMIENTO]])-IF(OR(MONTH(TODAY())&lt;MONTH(E205),AND(MONTH(TODAY())=MONTH(E205),DAY(TODAY())&lt;DAY(E205))),1,0))</f>
        <v>34</v>
      </c>
    </row>
    <row r="206" spans="1:6" x14ac:dyDescent="0.3">
      <c r="A206" s="34" t="s">
        <v>463</v>
      </c>
      <c r="B206" s="34" t="s">
        <v>464</v>
      </c>
      <c r="C206" s="34" t="s">
        <v>262</v>
      </c>
      <c r="D206" s="35" t="s">
        <v>12</v>
      </c>
      <c r="E206" s="36">
        <v>36325</v>
      </c>
      <c r="F206" s="37">
        <f ca="1">IF(T_CÓDIGO[[#This Row],[FECHA DE NACIMIENTO]]="","",YEAR(TODAY())-YEAR(T_CÓDIGO[[#This Row],[FECHA DE NACIMIENTO]])-IF(OR(MONTH(TODAY())&lt;MONTH(E206),AND(MONTH(TODAY())=MONTH(E206),DAY(TODAY())&lt;DAY(E206))),1,0))</f>
        <v>25</v>
      </c>
    </row>
    <row r="207" spans="1:6" x14ac:dyDescent="0.3">
      <c r="A207" s="34" t="s">
        <v>798</v>
      </c>
      <c r="B207" s="34">
        <v>1722004882</v>
      </c>
      <c r="C207" s="34" t="s">
        <v>262</v>
      </c>
      <c r="D207" s="35" t="s">
        <v>12</v>
      </c>
      <c r="E207" s="36">
        <v>38076</v>
      </c>
      <c r="F207" s="37">
        <f ca="1">IF(T_CÓDIGO[[#This Row],[FECHA DE NACIMIENTO]]="","",YEAR(TODAY())-YEAR(T_CÓDIGO[[#This Row],[FECHA DE NACIMIENTO]])-IF(OR(MONTH(TODAY())&lt;MONTH(E207),AND(MONTH(TODAY())=MONTH(E207),DAY(TODAY())&lt;DAY(E207))),1,0))</f>
        <v>20</v>
      </c>
    </row>
    <row r="208" spans="1:6" x14ac:dyDescent="0.3">
      <c r="A208" s="34" t="s">
        <v>465</v>
      </c>
      <c r="B208" s="34">
        <v>1900729318</v>
      </c>
      <c r="C208" s="34" t="s">
        <v>260</v>
      </c>
      <c r="D208" s="35" t="s">
        <v>12</v>
      </c>
      <c r="E208" s="36">
        <v>35665</v>
      </c>
      <c r="F208" s="37">
        <f ca="1">IF(T_CÓDIGO[[#This Row],[FECHA DE NACIMIENTO]]="","",YEAR(TODAY())-YEAR(T_CÓDIGO[[#This Row],[FECHA DE NACIMIENTO]])-IF(OR(MONTH(TODAY())&lt;MONTH(E208),AND(MONTH(TODAY())=MONTH(E208),DAY(TODAY())&lt;DAY(E208))),1,0))</f>
        <v>27</v>
      </c>
    </row>
    <row r="209" spans="1:6" x14ac:dyDescent="0.3">
      <c r="A209" s="34" t="s">
        <v>466</v>
      </c>
      <c r="B209" s="34">
        <v>1900729375</v>
      </c>
      <c r="C209" s="34" t="s">
        <v>260</v>
      </c>
      <c r="D209" s="35" t="s">
        <v>12</v>
      </c>
      <c r="E209" s="36">
        <v>36185</v>
      </c>
      <c r="F209" s="37">
        <f ca="1">IF(T_CÓDIGO[[#This Row],[FECHA DE NACIMIENTO]]="","",YEAR(TODAY())-YEAR(T_CÓDIGO[[#This Row],[FECHA DE NACIMIENTO]])-IF(OR(MONTH(TODAY())&lt;MONTH(E209),AND(MONTH(TODAY())=MONTH(E209),DAY(TODAY())&lt;DAY(E209))),1,0))</f>
        <v>25</v>
      </c>
    </row>
    <row r="210" spans="1:6" x14ac:dyDescent="0.3">
      <c r="A210" s="34" t="s">
        <v>467</v>
      </c>
      <c r="B210" s="34" t="s">
        <v>468</v>
      </c>
      <c r="C210" s="34" t="s">
        <v>260</v>
      </c>
      <c r="D210" s="35" t="s">
        <v>12</v>
      </c>
      <c r="E210" s="36">
        <v>35864</v>
      </c>
      <c r="F210" s="37">
        <f ca="1">IF(T_CÓDIGO[[#This Row],[FECHA DE NACIMIENTO]]="","",YEAR(TODAY())-YEAR(T_CÓDIGO[[#This Row],[FECHA DE NACIMIENTO]])-IF(OR(MONTH(TODAY())&lt;MONTH(E210),AND(MONTH(TODAY())=MONTH(E210),DAY(TODAY())&lt;DAY(E210))),1,0))</f>
        <v>26</v>
      </c>
    </row>
    <row r="211" spans="1:6" x14ac:dyDescent="0.3">
      <c r="A211" s="34" t="s">
        <v>799</v>
      </c>
      <c r="B211" s="34">
        <v>1106210865</v>
      </c>
      <c r="C211" s="34" t="s">
        <v>262</v>
      </c>
      <c r="D211" s="35" t="s">
        <v>12</v>
      </c>
      <c r="E211" s="36">
        <v>37531</v>
      </c>
      <c r="F211" s="37">
        <f ca="1">IF(T_CÓDIGO[[#This Row],[FECHA DE NACIMIENTO]]="","",YEAR(TODAY())-YEAR(T_CÓDIGO[[#This Row],[FECHA DE NACIMIENTO]])-IF(OR(MONTH(TODAY())&lt;MONTH(E211),AND(MONTH(TODAY())=MONTH(E211),DAY(TODAY())&lt;DAY(E211))),1,0))</f>
        <v>22</v>
      </c>
    </row>
    <row r="212" spans="1:6" x14ac:dyDescent="0.3">
      <c r="A212" s="34" t="s">
        <v>469</v>
      </c>
      <c r="B212" s="34">
        <v>1900230069</v>
      </c>
      <c r="C212" s="34" t="s">
        <v>268</v>
      </c>
      <c r="D212" s="35" t="s">
        <v>12</v>
      </c>
      <c r="E212" s="36">
        <v>24715</v>
      </c>
      <c r="F212" s="37">
        <f ca="1">IF(T_CÓDIGO[[#This Row],[FECHA DE NACIMIENTO]]="","",YEAR(TODAY())-YEAR(T_CÓDIGO[[#This Row],[FECHA DE NACIMIENTO]])-IF(OR(MONTH(TODAY())&lt;MONTH(E212),AND(MONTH(TODAY())=MONTH(E212),DAY(TODAY())&lt;DAY(E212))),1,0))</f>
        <v>57</v>
      </c>
    </row>
    <row r="213" spans="1:6" x14ac:dyDescent="0.3">
      <c r="A213" s="34" t="s">
        <v>470</v>
      </c>
      <c r="B213" s="34">
        <v>1900730639</v>
      </c>
      <c r="C213" s="34" t="s">
        <v>260</v>
      </c>
      <c r="D213" s="35" t="s">
        <v>12</v>
      </c>
      <c r="E213" s="36">
        <v>33699</v>
      </c>
      <c r="F213" s="37">
        <f ca="1">IF(T_CÓDIGO[[#This Row],[FECHA DE NACIMIENTO]]="","",YEAR(TODAY())-YEAR(T_CÓDIGO[[#This Row],[FECHA DE NACIMIENTO]])-IF(OR(MONTH(TODAY())&lt;MONTH(E213),AND(MONTH(TODAY())=MONTH(E213),DAY(TODAY())&lt;DAY(E213))),1,0))</f>
        <v>32</v>
      </c>
    </row>
    <row r="214" spans="1:6" x14ac:dyDescent="0.3">
      <c r="A214" s="34" t="s">
        <v>800</v>
      </c>
      <c r="B214" s="34" t="s">
        <v>801</v>
      </c>
      <c r="C214" s="34" t="s">
        <v>292</v>
      </c>
      <c r="D214" s="35" t="s">
        <v>12</v>
      </c>
      <c r="E214" s="36">
        <v>35978</v>
      </c>
      <c r="F214" s="37">
        <f ca="1">IF(T_CÓDIGO[[#This Row],[FECHA DE NACIMIENTO]]="","",YEAR(TODAY())-YEAR(T_CÓDIGO[[#This Row],[FECHA DE NACIMIENTO]])-IF(OR(MONTH(TODAY())&lt;MONTH(E214),AND(MONTH(TODAY())=MONTH(E214),DAY(TODAY())&lt;DAY(E214))),1,0))</f>
        <v>26</v>
      </c>
    </row>
    <row r="215" spans="1:6" x14ac:dyDescent="0.3">
      <c r="A215" s="34" t="s">
        <v>802</v>
      </c>
      <c r="B215" s="34" t="s">
        <v>803</v>
      </c>
      <c r="C215" s="34" t="s">
        <v>260</v>
      </c>
      <c r="D215" s="35" t="s">
        <v>12</v>
      </c>
      <c r="E215" s="36">
        <v>30898</v>
      </c>
      <c r="F215" s="37">
        <f ca="1">IF(T_CÓDIGO[[#This Row],[FECHA DE NACIMIENTO]]="","",YEAR(TODAY())-YEAR(T_CÓDIGO[[#This Row],[FECHA DE NACIMIENTO]])-IF(OR(MONTH(TODAY())&lt;MONTH(E215),AND(MONTH(TODAY())=MONTH(E215),DAY(TODAY())&lt;DAY(E215))),1,0))</f>
        <v>40</v>
      </c>
    </row>
    <row r="216" spans="1:6" x14ac:dyDescent="0.3">
      <c r="A216" s="34" t="s">
        <v>703</v>
      </c>
      <c r="B216" s="34" t="s">
        <v>704</v>
      </c>
      <c r="C216" s="34" t="s">
        <v>277</v>
      </c>
      <c r="D216" s="35" t="s">
        <v>12</v>
      </c>
      <c r="E216" s="36">
        <v>33826</v>
      </c>
      <c r="F216" s="37">
        <f ca="1">IF(T_CÓDIGO[[#This Row],[FECHA DE NACIMIENTO]]="","",YEAR(TODAY())-YEAR(T_CÓDIGO[[#This Row],[FECHA DE NACIMIENTO]])-IF(OR(MONTH(TODAY())&lt;MONTH(E216),AND(MONTH(TODAY())=MONTH(E216),DAY(TODAY())&lt;DAY(E216))),1,0))</f>
        <v>32</v>
      </c>
    </row>
    <row r="217" spans="1:6" x14ac:dyDescent="0.3">
      <c r="A217" s="34" t="s">
        <v>804</v>
      </c>
      <c r="B217" s="34">
        <v>1724364920</v>
      </c>
      <c r="C217" s="34" t="s">
        <v>274</v>
      </c>
      <c r="D217" s="35" t="s">
        <v>24</v>
      </c>
      <c r="E217" s="36">
        <v>34615</v>
      </c>
      <c r="F217" s="37">
        <f ca="1">IF(T_CÓDIGO[[#This Row],[FECHA DE NACIMIENTO]]="","",YEAR(TODAY())-YEAR(T_CÓDIGO[[#This Row],[FECHA DE NACIMIENTO]])-IF(OR(MONTH(TODAY())&lt;MONTH(E217),AND(MONTH(TODAY())=MONTH(E217),DAY(TODAY())&lt;DAY(E217))),1,0))</f>
        <v>30</v>
      </c>
    </row>
    <row r="218" spans="1:6" x14ac:dyDescent="0.3">
      <c r="A218" s="34" t="s">
        <v>805</v>
      </c>
      <c r="B218" s="34" t="s">
        <v>806</v>
      </c>
      <c r="C218" s="34" t="s">
        <v>340</v>
      </c>
      <c r="D218" s="35" t="s">
        <v>24</v>
      </c>
      <c r="E218" s="36">
        <v>35295</v>
      </c>
      <c r="F218" s="37">
        <f ca="1">IF(T_CÓDIGO[[#This Row],[FECHA DE NACIMIENTO]]="","",YEAR(TODAY())-YEAR(T_CÓDIGO[[#This Row],[FECHA DE NACIMIENTO]])-IF(OR(MONTH(TODAY())&lt;MONTH(E218),AND(MONTH(TODAY())=MONTH(E218),DAY(TODAY())&lt;DAY(E218))),1,0))</f>
        <v>28</v>
      </c>
    </row>
    <row r="219" spans="1:6" x14ac:dyDescent="0.3">
      <c r="A219" s="34" t="s">
        <v>471</v>
      </c>
      <c r="B219" s="34" t="s">
        <v>472</v>
      </c>
      <c r="C219" s="34" t="s">
        <v>278</v>
      </c>
      <c r="D219" s="35" t="s">
        <v>24</v>
      </c>
      <c r="E219" s="36">
        <v>35665</v>
      </c>
      <c r="F219" s="37">
        <f ca="1">IF(T_CÓDIGO[[#This Row],[FECHA DE NACIMIENTO]]="","",YEAR(TODAY())-YEAR(T_CÓDIGO[[#This Row],[FECHA DE NACIMIENTO]])-IF(OR(MONTH(TODAY())&lt;MONTH(E219),AND(MONTH(TODAY())=MONTH(E219),DAY(TODAY())&lt;DAY(E219))),1,0))</f>
        <v>27</v>
      </c>
    </row>
    <row r="220" spans="1:6" x14ac:dyDescent="0.3">
      <c r="A220" s="34" t="s">
        <v>119</v>
      </c>
      <c r="B220" s="34">
        <v>1004104632</v>
      </c>
      <c r="C220" s="34" t="s">
        <v>260</v>
      </c>
      <c r="D220" s="35" t="s">
        <v>12</v>
      </c>
      <c r="E220" s="36">
        <v>35367</v>
      </c>
      <c r="F220" s="37">
        <f ca="1">IF(T_CÓDIGO[[#This Row],[FECHA DE NACIMIENTO]]="","",YEAR(TODAY())-YEAR(T_CÓDIGO[[#This Row],[FECHA DE NACIMIENTO]])-IF(OR(MONTH(TODAY())&lt;MONTH(E220),AND(MONTH(TODAY())=MONTH(E220),DAY(TODAY())&lt;DAY(E220))),1,0))</f>
        <v>28</v>
      </c>
    </row>
    <row r="221" spans="1:6" x14ac:dyDescent="0.3">
      <c r="A221" s="34" t="s">
        <v>473</v>
      </c>
      <c r="B221" s="34" t="s">
        <v>474</v>
      </c>
      <c r="C221" s="34" t="s">
        <v>279</v>
      </c>
      <c r="D221" s="35" t="s">
        <v>12</v>
      </c>
      <c r="E221" s="36">
        <v>34903</v>
      </c>
      <c r="F221" s="37">
        <f ca="1">IF(T_CÓDIGO[[#This Row],[FECHA DE NACIMIENTO]]="","",YEAR(TODAY())-YEAR(T_CÓDIGO[[#This Row],[FECHA DE NACIMIENTO]])-IF(OR(MONTH(TODAY())&lt;MONTH(E221),AND(MONTH(TODAY())=MONTH(E221),DAY(TODAY())&lt;DAY(E221))),1,0))</f>
        <v>29</v>
      </c>
    </row>
    <row r="222" spans="1:6" x14ac:dyDescent="0.3">
      <c r="A222" s="34" t="s">
        <v>475</v>
      </c>
      <c r="B222" s="34">
        <v>1721244505</v>
      </c>
      <c r="C222" s="34" t="s">
        <v>260</v>
      </c>
      <c r="D222" s="35" t="s">
        <v>12</v>
      </c>
      <c r="E222" s="36">
        <v>31789</v>
      </c>
      <c r="F222" s="37">
        <f ca="1">IF(T_CÓDIGO[[#This Row],[FECHA DE NACIMIENTO]]="","",YEAR(TODAY())-YEAR(T_CÓDIGO[[#This Row],[FECHA DE NACIMIENTO]])-IF(OR(MONTH(TODAY())&lt;MONTH(E222),AND(MONTH(TODAY())=MONTH(E222),DAY(TODAY())&lt;DAY(E222))),1,0))</f>
        <v>37</v>
      </c>
    </row>
    <row r="223" spans="1:6" x14ac:dyDescent="0.3">
      <c r="A223" s="34" t="s">
        <v>157</v>
      </c>
      <c r="B223" s="34">
        <v>1724191596</v>
      </c>
      <c r="C223" s="34" t="s">
        <v>260</v>
      </c>
      <c r="D223" s="35" t="s">
        <v>12</v>
      </c>
      <c r="E223" s="36">
        <v>32982</v>
      </c>
      <c r="F223" s="37">
        <f ca="1">IF(T_CÓDIGO[[#This Row],[FECHA DE NACIMIENTO]]="","",YEAR(TODAY())-YEAR(T_CÓDIGO[[#This Row],[FECHA DE NACIMIENTO]])-IF(OR(MONTH(TODAY())&lt;MONTH(E223),AND(MONTH(TODAY())=MONTH(E223),DAY(TODAY())&lt;DAY(E223))),1,0))</f>
        <v>34</v>
      </c>
    </row>
    <row r="224" spans="1:6" x14ac:dyDescent="0.3">
      <c r="A224" s="34" t="s">
        <v>48</v>
      </c>
      <c r="B224" s="34" t="s">
        <v>476</v>
      </c>
      <c r="C224" s="34" t="s">
        <v>392</v>
      </c>
      <c r="D224" s="35" t="s">
        <v>24</v>
      </c>
      <c r="E224" s="36">
        <v>34938</v>
      </c>
      <c r="F224" s="37">
        <f ca="1">IF(T_CÓDIGO[[#This Row],[FECHA DE NACIMIENTO]]="","",YEAR(TODAY())-YEAR(T_CÓDIGO[[#This Row],[FECHA DE NACIMIENTO]])-IF(OR(MONTH(TODAY())&lt;MONTH(E224),AND(MONTH(TODAY())=MONTH(E224),DAY(TODAY())&lt;DAY(E224))),1,0))</f>
        <v>29</v>
      </c>
    </row>
    <row r="225" spans="1:6" x14ac:dyDescent="0.3">
      <c r="A225" s="34" t="s">
        <v>477</v>
      </c>
      <c r="B225" s="34">
        <v>1719089417</v>
      </c>
      <c r="C225" s="34" t="s">
        <v>279</v>
      </c>
      <c r="D225" s="35" t="s">
        <v>12</v>
      </c>
      <c r="E225" s="36">
        <v>33547</v>
      </c>
      <c r="F225" s="37">
        <f ca="1">IF(T_CÓDIGO[[#This Row],[FECHA DE NACIMIENTO]]="","",YEAR(TODAY())-YEAR(T_CÓDIGO[[#This Row],[FECHA DE NACIMIENTO]])-IF(OR(MONTH(TODAY())&lt;MONTH(E225),AND(MONTH(TODAY())=MONTH(E225),DAY(TODAY())&lt;DAY(E225))),1,0))</f>
        <v>33</v>
      </c>
    </row>
    <row r="226" spans="1:6" x14ac:dyDescent="0.3">
      <c r="A226" s="34" t="s">
        <v>807</v>
      </c>
      <c r="B226" s="34" t="s">
        <v>808</v>
      </c>
      <c r="C226" s="34" t="s">
        <v>260</v>
      </c>
      <c r="D226" s="35" t="s">
        <v>12</v>
      </c>
      <c r="E226" s="36">
        <v>36545</v>
      </c>
      <c r="F226" s="37">
        <f ca="1">IF(T_CÓDIGO[[#This Row],[FECHA DE NACIMIENTO]]="","",YEAR(TODAY())-YEAR(T_CÓDIGO[[#This Row],[FECHA DE NACIMIENTO]])-IF(OR(MONTH(TODAY())&lt;MONTH(E226),AND(MONTH(TODAY())=MONTH(E226),DAY(TODAY())&lt;DAY(E226))),1,0))</f>
        <v>24</v>
      </c>
    </row>
    <row r="227" spans="1:6" x14ac:dyDescent="0.3">
      <c r="A227" s="34" t="s">
        <v>478</v>
      </c>
      <c r="B227" s="34" t="s">
        <v>479</v>
      </c>
      <c r="C227" s="34" t="s">
        <v>260</v>
      </c>
      <c r="D227" s="35" t="s">
        <v>12</v>
      </c>
      <c r="E227" s="36">
        <v>37264</v>
      </c>
      <c r="F227" s="37">
        <f ca="1">IF(T_CÓDIGO[[#This Row],[FECHA DE NACIMIENTO]]="","",YEAR(TODAY())-YEAR(T_CÓDIGO[[#This Row],[FECHA DE NACIMIENTO]])-IF(OR(MONTH(TODAY())&lt;MONTH(E227),AND(MONTH(TODAY())=MONTH(E227),DAY(TODAY())&lt;DAY(E227))),1,0))</f>
        <v>22</v>
      </c>
    </row>
    <row r="228" spans="1:6" x14ac:dyDescent="0.3">
      <c r="A228" s="34" t="s">
        <v>480</v>
      </c>
      <c r="B228" s="34" t="s">
        <v>809</v>
      </c>
      <c r="C228" s="34" t="s">
        <v>279</v>
      </c>
      <c r="D228" s="35" t="s">
        <v>12</v>
      </c>
      <c r="E228" s="36">
        <v>34990</v>
      </c>
      <c r="F228" s="37">
        <f ca="1">IF(T_CÓDIGO[[#This Row],[FECHA DE NACIMIENTO]]="","",YEAR(TODAY())-YEAR(T_CÓDIGO[[#This Row],[FECHA DE NACIMIENTO]])-IF(OR(MONTH(TODAY())&lt;MONTH(E228),AND(MONTH(TODAY())=MONTH(E228),DAY(TODAY())&lt;DAY(E228))),1,0))</f>
        <v>29</v>
      </c>
    </row>
    <row r="229" spans="1:6" x14ac:dyDescent="0.3">
      <c r="A229" s="34" t="s">
        <v>481</v>
      </c>
      <c r="B229" s="34">
        <v>1721038220</v>
      </c>
      <c r="C229" s="34" t="s">
        <v>300</v>
      </c>
      <c r="D229" s="35" t="s">
        <v>24</v>
      </c>
      <c r="E229" s="36">
        <v>32346</v>
      </c>
      <c r="F229" s="37">
        <f ca="1">IF(T_CÓDIGO[[#This Row],[FECHA DE NACIMIENTO]]="","",YEAR(TODAY())-YEAR(T_CÓDIGO[[#This Row],[FECHA DE NACIMIENTO]])-IF(OR(MONTH(TODAY())&lt;MONTH(E229),AND(MONTH(TODAY())=MONTH(E229),DAY(TODAY())&lt;DAY(E229))),1,0))</f>
        <v>36</v>
      </c>
    </row>
    <row r="230" spans="1:6" x14ac:dyDescent="0.3">
      <c r="A230" s="34" t="s">
        <v>161</v>
      </c>
      <c r="B230" s="34" t="s">
        <v>408</v>
      </c>
      <c r="C230" s="34" t="s">
        <v>278</v>
      </c>
      <c r="D230" s="35" t="s">
        <v>24</v>
      </c>
      <c r="E230" s="36" t="s">
        <v>409</v>
      </c>
      <c r="F230" s="37">
        <f ca="1">IF(T_CÓDIGO[[#This Row],[FECHA DE NACIMIENTO]]="","",YEAR(TODAY())-YEAR(T_CÓDIGO[[#This Row],[FECHA DE NACIMIENTO]])-IF(OR(MONTH(TODAY())&lt;MONTH(E230),AND(MONTH(TODAY())=MONTH(E230),DAY(TODAY())&lt;DAY(E230))),1,0))</f>
        <v>33</v>
      </c>
    </row>
    <row r="231" spans="1:6" x14ac:dyDescent="0.3">
      <c r="A231" s="34" t="s">
        <v>482</v>
      </c>
      <c r="B231" s="34" t="s">
        <v>483</v>
      </c>
      <c r="C231" s="34" t="s">
        <v>271</v>
      </c>
      <c r="D231" s="35" t="s">
        <v>12</v>
      </c>
      <c r="E231" s="36">
        <v>29126</v>
      </c>
      <c r="F231" s="37">
        <f ca="1">IF(T_CÓDIGO[[#This Row],[FECHA DE NACIMIENTO]]="","",YEAR(TODAY())-YEAR(T_CÓDIGO[[#This Row],[FECHA DE NACIMIENTO]])-IF(OR(MONTH(TODAY())&lt;MONTH(E231),AND(MONTH(TODAY())=MONTH(E231),DAY(TODAY())&lt;DAY(E231))),1,0))</f>
        <v>45</v>
      </c>
    </row>
    <row r="232" spans="1:6" x14ac:dyDescent="0.3">
      <c r="A232" s="34" t="s">
        <v>810</v>
      </c>
      <c r="B232" s="34" t="s">
        <v>811</v>
      </c>
      <c r="C232" s="34" t="s">
        <v>262</v>
      </c>
      <c r="D232" s="35" t="s">
        <v>12</v>
      </c>
      <c r="E232" s="36">
        <v>38405</v>
      </c>
      <c r="F232" s="37">
        <f ca="1">IF(T_CÓDIGO[[#This Row],[FECHA DE NACIMIENTO]]="","",YEAR(TODAY())-YEAR(T_CÓDIGO[[#This Row],[FECHA DE NACIMIENTO]])-IF(OR(MONTH(TODAY())&lt;MONTH(E232),AND(MONTH(TODAY())=MONTH(E232),DAY(TODAY())&lt;DAY(E232))),1,0))</f>
        <v>19</v>
      </c>
    </row>
    <row r="233" spans="1:6" x14ac:dyDescent="0.3">
      <c r="A233" s="34" t="s">
        <v>484</v>
      </c>
      <c r="B233" s="34">
        <v>2200358485</v>
      </c>
      <c r="C233" s="34" t="s">
        <v>260</v>
      </c>
      <c r="D233" s="35" t="s">
        <v>12</v>
      </c>
      <c r="E233" s="36">
        <v>35831</v>
      </c>
      <c r="F233" s="37">
        <f ca="1">IF(T_CÓDIGO[[#This Row],[FECHA DE NACIMIENTO]]="","",YEAR(TODAY())-YEAR(T_CÓDIGO[[#This Row],[FECHA DE NACIMIENTO]])-IF(OR(MONTH(TODAY())&lt;MONTH(E233),AND(MONTH(TODAY())=MONTH(E233),DAY(TODAY())&lt;DAY(E233))),1,0))</f>
        <v>26</v>
      </c>
    </row>
    <row r="234" spans="1:6" x14ac:dyDescent="0.3">
      <c r="A234" s="34" t="s">
        <v>485</v>
      </c>
      <c r="B234" s="34" t="s">
        <v>486</v>
      </c>
      <c r="C234" s="34" t="s">
        <v>431</v>
      </c>
      <c r="D234" s="35" t="s">
        <v>24</v>
      </c>
      <c r="E234" s="36">
        <v>35355</v>
      </c>
      <c r="F234" s="37">
        <f ca="1">IF(T_CÓDIGO[[#This Row],[FECHA DE NACIMIENTO]]="","",YEAR(TODAY())-YEAR(T_CÓDIGO[[#This Row],[FECHA DE NACIMIENTO]])-IF(OR(MONTH(TODAY())&lt;MONTH(E234),AND(MONTH(TODAY())=MONTH(E234),DAY(TODAY())&lt;DAY(E234))),1,0))</f>
        <v>28</v>
      </c>
    </row>
    <row r="235" spans="1:6" x14ac:dyDescent="0.3">
      <c r="A235" s="34" t="s">
        <v>487</v>
      </c>
      <c r="B235" s="34" t="s">
        <v>488</v>
      </c>
      <c r="C235" s="34" t="s">
        <v>262</v>
      </c>
      <c r="D235" s="35" t="s">
        <v>12</v>
      </c>
      <c r="E235" s="36">
        <v>35574</v>
      </c>
      <c r="F235" s="37">
        <f ca="1">IF(T_CÓDIGO[[#This Row],[FECHA DE NACIMIENTO]]="","",YEAR(TODAY())-YEAR(T_CÓDIGO[[#This Row],[FECHA DE NACIMIENTO]])-IF(OR(MONTH(TODAY())&lt;MONTH(E235),AND(MONTH(TODAY())=MONTH(E235),DAY(TODAY())&lt;DAY(E235))),1,0))</f>
        <v>27</v>
      </c>
    </row>
    <row r="236" spans="1:6" x14ac:dyDescent="0.3">
      <c r="A236" s="34" t="s">
        <v>489</v>
      </c>
      <c r="B236" s="34" t="s">
        <v>490</v>
      </c>
      <c r="C236" s="34" t="s">
        <v>262</v>
      </c>
      <c r="D236" s="35" t="s">
        <v>12</v>
      </c>
      <c r="E236" s="36">
        <v>37879</v>
      </c>
      <c r="F236" s="37">
        <f ca="1">IF(T_CÓDIGO[[#This Row],[FECHA DE NACIMIENTO]]="","",YEAR(TODAY())-YEAR(T_CÓDIGO[[#This Row],[FECHA DE NACIMIENTO]])-IF(OR(MONTH(TODAY())&lt;MONTH(E236),AND(MONTH(TODAY())=MONTH(E236),DAY(TODAY())&lt;DAY(E236))),1,0))</f>
        <v>21</v>
      </c>
    </row>
    <row r="237" spans="1:6" x14ac:dyDescent="0.3">
      <c r="A237" s="34" t="s">
        <v>491</v>
      </c>
      <c r="B237" s="34" t="s">
        <v>492</v>
      </c>
      <c r="C237" s="34" t="s">
        <v>260</v>
      </c>
      <c r="D237" s="35" t="s">
        <v>12</v>
      </c>
      <c r="E237" s="36">
        <v>37017</v>
      </c>
      <c r="F237" s="37">
        <f ca="1">IF(T_CÓDIGO[[#This Row],[FECHA DE NACIMIENTO]]="","",YEAR(TODAY())-YEAR(T_CÓDIGO[[#This Row],[FECHA DE NACIMIENTO]])-IF(OR(MONTH(TODAY())&lt;MONTH(E237),AND(MONTH(TODAY())=MONTH(E237),DAY(TODAY())&lt;DAY(E237))),1,0))</f>
        <v>23</v>
      </c>
    </row>
    <row r="238" spans="1:6" x14ac:dyDescent="0.3">
      <c r="A238" s="34" t="s">
        <v>493</v>
      </c>
      <c r="B238" s="34">
        <v>2350424541</v>
      </c>
      <c r="C238" s="34" t="s">
        <v>260</v>
      </c>
      <c r="D238" s="35" t="s">
        <v>12</v>
      </c>
      <c r="E238" s="36">
        <v>35348</v>
      </c>
      <c r="F238" s="37">
        <f ca="1">IF(T_CÓDIGO[[#This Row],[FECHA DE NACIMIENTO]]="","",YEAR(TODAY())-YEAR(T_CÓDIGO[[#This Row],[FECHA DE NACIMIENTO]])-IF(OR(MONTH(TODAY())&lt;MONTH(E238),AND(MONTH(TODAY())=MONTH(E238),DAY(TODAY())&lt;DAY(E238))),1,0))</f>
        <v>28</v>
      </c>
    </row>
    <row r="239" spans="1:6" x14ac:dyDescent="0.3">
      <c r="A239" s="34" t="s">
        <v>99</v>
      </c>
      <c r="B239" s="34" t="s">
        <v>494</v>
      </c>
      <c r="C239" s="34" t="s">
        <v>495</v>
      </c>
      <c r="D239" s="35" t="s">
        <v>12</v>
      </c>
      <c r="E239" s="36">
        <v>31329</v>
      </c>
      <c r="F239" s="37">
        <f ca="1">IF(T_CÓDIGO[[#This Row],[FECHA DE NACIMIENTO]]="","",YEAR(TODAY())-YEAR(T_CÓDIGO[[#This Row],[FECHA DE NACIMIENTO]])-IF(OR(MONTH(TODAY())&lt;MONTH(E239),AND(MONTH(TODAY())=MONTH(E239),DAY(TODAY())&lt;DAY(E239))),1,0))</f>
        <v>39</v>
      </c>
    </row>
    <row r="240" spans="1:6" x14ac:dyDescent="0.3">
      <c r="A240" s="34" t="s">
        <v>812</v>
      </c>
      <c r="B240" s="34" t="s">
        <v>813</v>
      </c>
      <c r="C240" s="34" t="s">
        <v>300</v>
      </c>
      <c r="D240" s="35" t="s">
        <v>12</v>
      </c>
      <c r="E240" s="36" t="s">
        <v>814</v>
      </c>
      <c r="F240" s="37">
        <f ca="1">IF(T_CÓDIGO[[#This Row],[FECHA DE NACIMIENTO]]="","",YEAR(TODAY())-YEAR(T_CÓDIGO[[#This Row],[FECHA DE NACIMIENTO]])-IF(OR(MONTH(TODAY())&lt;MONTH(E240),AND(MONTH(TODAY())=MONTH(E240),DAY(TODAY())&lt;DAY(E240))),1,0))</f>
        <v>32</v>
      </c>
    </row>
    <row r="241" spans="1:6" x14ac:dyDescent="0.3">
      <c r="A241" s="34" t="s">
        <v>496</v>
      </c>
      <c r="B241" s="34">
        <v>1104782394</v>
      </c>
      <c r="C241" s="34" t="s">
        <v>262</v>
      </c>
      <c r="D241" s="35" t="s">
        <v>12</v>
      </c>
      <c r="E241" s="36">
        <v>32204</v>
      </c>
      <c r="F241" s="37">
        <f ca="1">IF(T_CÓDIGO[[#This Row],[FECHA DE NACIMIENTO]]="","",YEAR(TODAY())-YEAR(T_CÓDIGO[[#This Row],[FECHA DE NACIMIENTO]])-IF(OR(MONTH(TODAY())&lt;MONTH(E241),AND(MONTH(TODAY())=MONTH(E241),DAY(TODAY())&lt;DAY(E241))),1,0))</f>
        <v>36</v>
      </c>
    </row>
    <row r="242" spans="1:6" x14ac:dyDescent="0.3">
      <c r="A242" s="34" t="s">
        <v>497</v>
      </c>
      <c r="B242" s="34" t="s">
        <v>498</v>
      </c>
      <c r="C242" s="34" t="s">
        <v>387</v>
      </c>
      <c r="D242" s="35" t="s">
        <v>12</v>
      </c>
      <c r="E242" s="36">
        <v>32555</v>
      </c>
      <c r="F242" s="37">
        <f ca="1">IF(T_CÓDIGO[[#This Row],[FECHA DE NACIMIENTO]]="","",YEAR(TODAY())-YEAR(T_CÓDIGO[[#This Row],[FECHA DE NACIMIENTO]])-IF(OR(MONTH(TODAY())&lt;MONTH(E242),AND(MONTH(TODAY())=MONTH(E242),DAY(TODAY())&lt;DAY(E242))),1,0))</f>
        <v>35</v>
      </c>
    </row>
    <row r="243" spans="1:6" x14ac:dyDescent="0.3">
      <c r="A243" s="34" t="s">
        <v>815</v>
      </c>
      <c r="B243" s="34">
        <v>1206219998</v>
      </c>
      <c r="C243" s="34" t="s">
        <v>260</v>
      </c>
      <c r="D243" s="35" t="s">
        <v>12</v>
      </c>
      <c r="E243" s="36">
        <v>33202</v>
      </c>
      <c r="F243" s="37">
        <f ca="1">IF(T_CÓDIGO[[#This Row],[FECHA DE NACIMIENTO]]="","",YEAR(TODAY())-YEAR(T_CÓDIGO[[#This Row],[FECHA DE NACIMIENTO]])-IF(OR(MONTH(TODAY())&lt;MONTH(E243),AND(MONTH(TODAY())=MONTH(E243),DAY(TODAY())&lt;DAY(E243))),1,0))</f>
        <v>34</v>
      </c>
    </row>
    <row r="244" spans="1:6" x14ac:dyDescent="0.3">
      <c r="A244" s="34" t="s">
        <v>144</v>
      </c>
      <c r="B244" s="34">
        <v>1950052462</v>
      </c>
      <c r="C244" s="34" t="s">
        <v>260</v>
      </c>
      <c r="D244" s="35" t="s">
        <v>12</v>
      </c>
      <c r="E244" s="36">
        <v>35353</v>
      </c>
      <c r="F244" s="37">
        <f ca="1">IF(T_CÓDIGO[[#This Row],[FECHA DE NACIMIENTO]]="","",YEAR(TODAY())-YEAR(T_CÓDIGO[[#This Row],[FECHA DE NACIMIENTO]])-IF(OR(MONTH(TODAY())&lt;MONTH(E244),AND(MONTH(TODAY())=MONTH(E244),DAY(TODAY())&lt;DAY(E244))),1,0))</f>
        <v>28</v>
      </c>
    </row>
    <row r="245" spans="1:6" x14ac:dyDescent="0.3">
      <c r="A245" s="34" t="s">
        <v>816</v>
      </c>
      <c r="B245" s="34" t="s">
        <v>817</v>
      </c>
      <c r="C245" s="34" t="s">
        <v>368</v>
      </c>
      <c r="D245" s="35" t="s">
        <v>12</v>
      </c>
      <c r="E245" s="36" t="s">
        <v>818</v>
      </c>
      <c r="F245" s="37">
        <f ca="1">IF(T_CÓDIGO[[#This Row],[FECHA DE NACIMIENTO]]="","",YEAR(TODAY())-YEAR(T_CÓDIGO[[#This Row],[FECHA DE NACIMIENTO]])-IF(OR(MONTH(TODAY())&lt;MONTH(E245),AND(MONTH(TODAY())=MONTH(E245),DAY(TODAY())&lt;DAY(E245))),1,0))</f>
        <v>28</v>
      </c>
    </row>
    <row r="246" spans="1:6" x14ac:dyDescent="0.3">
      <c r="A246" s="34" t="s">
        <v>819</v>
      </c>
      <c r="B246" s="34" t="s">
        <v>820</v>
      </c>
      <c r="C246" s="34" t="s">
        <v>260</v>
      </c>
      <c r="D246" s="35" t="s">
        <v>12</v>
      </c>
      <c r="E246" s="36">
        <v>32294</v>
      </c>
      <c r="F246" s="37">
        <f ca="1">IF(T_CÓDIGO[[#This Row],[FECHA DE NACIMIENTO]]="","",YEAR(TODAY())-YEAR(T_CÓDIGO[[#This Row],[FECHA DE NACIMIENTO]])-IF(OR(MONTH(TODAY())&lt;MONTH(E246),AND(MONTH(TODAY())=MONTH(E246),DAY(TODAY())&lt;DAY(E246))),1,0))</f>
        <v>36</v>
      </c>
    </row>
    <row r="247" spans="1:6" x14ac:dyDescent="0.3">
      <c r="A247" s="34" t="s">
        <v>821</v>
      </c>
      <c r="B247" s="34" t="s">
        <v>822</v>
      </c>
      <c r="C247" s="34" t="s">
        <v>260</v>
      </c>
      <c r="D247" s="35" t="s">
        <v>12</v>
      </c>
      <c r="E247" s="36">
        <v>35639</v>
      </c>
      <c r="F247" s="37">
        <f ca="1">IF(T_CÓDIGO[[#This Row],[FECHA DE NACIMIENTO]]="","",YEAR(TODAY())-YEAR(T_CÓDIGO[[#This Row],[FECHA DE NACIMIENTO]])-IF(OR(MONTH(TODAY())&lt;MONTH(E247),AND(MONTH(TODAY())=MONTH(E247),DAY(TODAY())&lt;DAY(E247))),1,0))</f>
        <v>27</v>
      </c>
    </row>
    <row r="248" spans="1:6" x14ac:dyDescent="0.3">
      <c r="A248" s="34" t="s">
        <v>823</v>
      </c>
      <c r="B248" s="34">
        <v>1004367179</v>
      </c>
      <c r="C248" s="34" t="s">
        <v>260</v>
      </c>
      <c r="D248" s="35" t="s">
        <v>12</v>
      </c>
      <c r="E248" s="36">
        <v>38291</v>
      </c>
      <c r="F248" s="37">
        <f ca="1">IF(T_CÓDIGO[[#This Row],[FECHA DE NACIMIENTO]]="","",YEAR(TODAY())-YEAR(T_CÓDIGO[[#This Row],[FECHA DE NACIMIENTO]])-IF(OR(MONTH(TODAY())&lt;MONTH(E248),AND(MONTH(TODAY())=MONTH(E248),DAY(TODAY())&lt;DAY(E248))),1,0))</f>
        <v>20</v>
      </c>
    </row>
    <row r="249" spans="1:6" x14ac:dyDescent="0.3">
      <c r="A249" s="34" t="s">
        <v>499</v>
      </c>
      <c r="B249" s="34">
        <v>1004117923</v>
      </c>
      <c r="C249" s="34" t="s">
        <v>260</v>
      </c>
      <c r="D249" s="35" t="s">
        <v>12</v>
      </c>
      <c r="E249" s="36">
        <v>36801</v>
      </c>
      <c r="F249" s="37">
        <f ca="1">IF(T_CÓDIGO[[#This Row],[FECHA DE NACIMIENTO]]="","",YEAR(TODAY())-YEAR(T_CÓDIGO[[#This Row],[FECHA DE NACIMIENTO]])-IF(OR(MONTH(TODAY())&lt;MONTH(E249),AND(MONTH(TODAY())=MONTH(E249),DAY(TODAY())&lt;DAY(E249))),1,0))</f>
        <v>24</v>
      </c>
    </row>
    <row r="250" spans="1:6" x14ac:dyDescent="0.3">
      <c r="A250" s="34" t="s">
        <v>500</v>
      </c>
      <c r="B250" s="34" t="s">
        <v>501</v>
      </c>
      <c r="C250" s="34" t="s">
        <v>260</v>
      </c>
      <c r="D250" s="35" t="s">
        <v>12</v>
      </c>
      <c r="E250" s="36">
        <v>36900</v>
      </c>
      <c r="F250" s="37">
        <f ca="1">IF(T_CÓDIGO[[#This Row],[FECHA DE NACIMIENTO]]="","",YEAR(TODAY())-YEAR(T_CÓDIGO[[#This Row],[FECHA DE NACIMIENTO]])-IF(OR(MONTH(TODAY())&lt;MONTH(E250),AND(MONTH(TODAY())=MONTH(E250),DAY(TODAY())&lt;DAY(E250))),1,0))</f>
        <v>23</v>
      </c>
    </row>
    <row r="251" spans="1:6" x14ac:dyDescent="0.3">
      <c r="A251" s="34" t="s">
        <v>502</v>
      </c>
      <c r="B251" s="34">
        <v>1722650510</v>
      </c>
      <c r="C251" s="34" t="s">
        <v>319</v>
      </c>
      <c r="D251" s="35" t="s">
        <v>12</v>
      </c>
      <c r="E251" s="36">
        <v>34018</v>
      </c>
      <c r="F251" s="37">
        <f ca="1">IF(T_CÓDIGO[[#This Row],[FECHA DE NACIMIENTO]]="","",YEAR(TODAY())-YEAR(T_CÓDIGO[[#This Row],[FECHA DE NACIMIENTO]])-IF(OR(MONTH(TODAY())&lt;MONTH(E251),AND(MONTH(TODAY())=MONTH(E251),DAY(TODAY())&lt;DAY(E251))),1,0))</f>
        <v>31</v>
      </c>
    </row>
    <row r="252" spans="1:6" x14ac:dyDescent="0.3">
      <c r="A252" s="34" t="s">
        <v>68</v>
      </c>
      <c r="B252" s="34" t="s">
        <v>504</v>
      </c>
      <c r="C252" s="34" t="s">
        <v>392</v>
      </c>
      <c r="D252" s="35" t="s">
        <v>24</v>
      </c>
      <c r="E252" s="36">
        <v>34157</v>
      </c>
      <c r="F252" s="37">
        <f ca="1">IF(T_CÓDIGO[[#This Row],[FECHA DE NACIMIENTO]]="","",YEAR(TODAY())-YEAR(T_CÓDIGO[[#This Row],[FECHA DE NACIMIENTO]])-IF(OR(MONTH(TODAY())&lt;MONTH(E252),AND(MONTH(TODAY())=MONTH(E252),DAY(TODAY())&lt;DAY(E252))),1,0))</f>
        <v>31</v>
      </c>
    </row>
    <row r="253" spans="1:6" x14ac:dyDescent="0.3">
      <c r="A253" s="34" t="s">
        <v>824</v>
      </c>
      <c r="B253" s="34" t="s">
        <v>825</v>
      </c>
      <c r="C253" s="34" t="s">
        <v>260</v>
      </c>
      <c r="D253" s="35" t="s">
        <v>12</v>
      </c>
      <c r="E253" s="36">
        <v>31787</v>
      </c>
      <c r="F253" s="37">
        <f ca="1">IF(T_CÓDIGO[[#This Row],[FECHA DE NACIMIENTO]]="","",YEAR(TODAY())-YEAR(T_CÓDIGO[[#This Row],[FECHA DE NACIMIENTO]])-IF(OR(MONTH(TODAY())&lt;MONTH(E253),AND(MONTH(TODAY())=MONTH(E253),DAY(TODAY())&lt;DAY(E253))),1,0))</f>
        <v>37</v>
      </c>
    </row>
    <row r="254" spans="1:6" x14ac:dyDescent="0.3">
      <c r="A254" s="34" t="s">
        <v>505</v>
      </c>
      <c r="B254" s="34">
        <v>1725374779</v>
      </c>
      <c r="C254" s="34" t="s">
        <v>431</v>
      </c>
      <c r="D254" s="35" t="s">
        <v>24</v>
      </c>
      <c r="E254" s="36">
        <v>34404</v>
      </c>
      <c r="F254" s="37">
        <f ca="1">IF(T_CÓDIGO[[#This Row],[FECHA DE NACIMIENTO]]="","",YEAR(TODAY())-YEAR(T_CÓDIGO[[#This Row],[FECHA DE NACIMIENTO]])-IF(OR(MONTH(TODAY())&lt;MONTH(E254),AND(MONTH(TODAY())=MONTH(E254),DAY(TODAY())&lt;DAY(E254))),1,0))</f>
        <v>30</v>
      </c>
    </row>
    <row r="255" spans="1:6" x14ac:dyDescent="0.3">
      <c r="A255" s="34" t="s">
        <v>826</v>
      </c>
      <c r="B255" s="34" t="s">
        <v>827</v>
      </c>
      <c r="C255" s="34" t="s">
        <v>260</v>
      </c>
      <c r="D255" s="35" t="s">
        <v>12</v>
      </c>
      <c r="E255" s="36">
        <v>37435</v>
      </c>
      <c r="F255" s="37">
        <f ca="1">IF(T_CÓDIGO[[#This Row],[FECHA DE NACIMIENTO]]="","",YEAR(TODAY())-YEAR(T_CÓDIGO[[#This Row],[FECHA DE NACIMIENTO]])-IF(OR(MONTH(TODAY())&lt;MONTH(E255),AND(MONTH(TODAY())=MONTH(E255),DAY(TODAY())&lt;DAY(E255))),1,0))</f>
        <v>22</v>
      </c>
    </row>
    <row r="256" spans="1:6" x14ac:dyDescent="0.3">
      <c r="A256" s="34" t="s">
        <v>506</v>
      </c>
      <c r="B256" s="34" t="s">
        <v>507</v>
      </c>
      <c r="C256" s="34" t="s">
        <v>260</v>
      </c>
      <c r="D256" s="35" t="s">
        <v>12</v>
      </c>
      <c r="E256" s="36">
        <v>31438</v>
      </c>
      <c r="F256" s="37">
        <f ca="1">IF(T_CÓDIGO[[#This Row],[FECHA DE NACIMIENTO]]="","",YEAR(TODAY())-YEAR(T_CÓDIGO[[#This Row],[FECHA DE NACIMIENTO]])-IF(OR(MONTH(TODAY())&lt;MONTH(E256),AND(MONTH(TODAY())=MONTH(E256),DAY(TODAY())&lt;DAY(E256))),1,0))</f>
        <v>38</v>
      </c>
    </row>
    <row r="257" spans="1:6" x14ac:dyDescent="0.3">
      <c r="A257" s="34" t="s">
        <v>828</v>
      </c>
      <c r="B257" s="34" t="s">
        <v>829</v>
      </c>
      <c r="C257" s="34" t="s">
        <v>260</v>
      </c>
      <c r="D257" s="35" t="s">
        <v>12</v>
      </c>
      <c r="E257" s="36">
        <v>35997</v>
      </c>
      <c r="F257" s="37">
        <f ca="1">IF(T_CÓDIGO[[#This Row],[FECHA DE NACIMIENTO]]="","",YEAR(TODAY())-YEAR(T_CÓDIGO[[#This Row],[FECHA DE NACIMIENTO]])-IF(OR(MONTH(TODAY())&lt;MONTH(E257),AND(MONTH(TODAY())=MONTH(E257),DAY(TODAY())&lt;DAY(E257))),1,0))</f>
        <v>26</v>
      </c>
    </row>
    <row r="258" spans="1:6" x14ac:dyDescent="0.3">
      <c r="A258" s="34" t="s">
        <v>830</v>
      </c>
      <c r="B258" s="34" t="s">
        <v>831</v>
      </c>
      <c r="C258" s="34" t="s">
        <v>260</v>
      </c>
      <c r="D258" s="35" t="s">
        <v>12</v>
      </c>
      <c r="E258" s="36">
        <v>30089</v>
      </c>
      <c r="F258" s="37">
        <f ca="1">IF(T_CÓDIGO[[#This Row],[FECHA DE NACIMIENTO]]="","",YEAR(TODAY())-YEAR(T_CÓDIGO[[#This Row],[FECHA DE NACIMIENTO]])-IF(OR(MONTH(TODAY())&lt;MONTH(E258),AND(MONTH(TODAY())=MONTH(E258),DAY(TODAY())&lt;DAY(E258))),1,0))</f>
        <v>42</v>
      </c>
    </row>
    <row r="259" spans="1:6" x14ac:dyDescent="0.3">
      <c r="A259" s="34" t="s">
        <v>676</v>
      </c>
      <c r="B259" s="34" t="s">
        <v>677</v>
      </c>
      <c r="C259" s="34" t="s">
        <v>260</v>
      </c>
      <c r="D259" s="35" t="s">
        <v>12</v>
      </c>
      <c r="E259" s="36">
        <v>146334</v>
      </c>
      <c r="F259" s="37">
        <f ca="1">IF(T_CÓDIGO[[#This Row],[FECHA DE NACIMIENTO]]="","",YEAR(TODAY())-YEAR(T_CÓDIGO[[#This Row],[FECHA DE NACIMIENTO]])-IF(OR(MONTH(TODAY())&lt;MONTH(E259),AND(MONTH(TODAY())=MONTH(E259),DAY(TODAY())&lt;DAY(E259))),1,0))</f>
        <v>-276</v>
      </c>
    </row>
    <row r="260" spans="1:6" x14ac:dyDescent="0.3">
      <c r="A260" s="34" t="s">
        <v>137</v>
      </c>
      <c r="B260" s="34">
        <v>1721989786</v>
      </c>
      <c r="C260" s="34" t="s">
        <v>260</v>
      </c>
      <c r="D260" s="35" t="s">
        <v>12</v>
      </c>
      <c r="E260" s="36">
        <v>33674</v>
      </c>
      <c r="F260" s="37">
        <f ca="1">IF(T_CÓDIGO[[#This Row],[FECHA DE NACIMIENTO]]="","",YEAR(TODAY())-YEAR(T_CÓDIGO[[#This Row],[FECHA DE NACIMIENTO]])-IF(OR(MONTH(TODAY())&lt;MONTH(E260),AND(MONTH(TODAY())=MONTH(E260),DAY(TODAY())&lt;DAY(E260))),1,0))</f>
        <v>32</v>
      </c>
    </row>
    <row r="261" spans="1:6" x14ac:dyDescent="0.3">
      <c r="A261" s="34" t="s">
        <v>159</v>
      </c>
      <c r="B261" s="34">
        <v>1721702817</v>
      </c>
      <c r="C261" s="34" t="s">
        <v>260</v>
      </c>
      <c r="D261" s="35" t="s">
        <v>12</v>
      </c>
      <c r="E261" s="36">
        <v>31751</v>
      </c>
      <c r="F261" s="37">
        <f ca="1">IF(T_CÓDIGO[[#This Row],[FECHA DE NACIMIENTO]]="","",YEAR(TODAY())-YEAR(T_CÓDIGO[[#This Row],[FECHA DE NACIMIENTO]])-IF(OR(MONTH(TODAY())&lt;MONTH(E261),AND(MONTH(TODAY())=MONTH(E261),DAY(TODAY())&lt;DAY(E261))),1,0))</f>
        <v>38</v>
      </c>
    </row>
    <row r="262" spans="1:6" x14ac:dyDescent="0.3">
      <c r="A262" s="34" t="s">
        <v>508</v>
      </c>
      <c r="B262" s="34" t="s">
        <v>832</v>
      </c>
      <c r="C262" s="34" t="s">
        <v>260</v>
      </c>
      <c r="D262" s="35" t="s">
        <v>12</v>
      </c>
      <c r="E262" s="36">
        <v>33469</v>
      </c>
      <c r="F262" s="37">
        <f ca="1">IF(T_CÓDIGO[[#This Row],[FECHA DE NACIMIENTO]]="","",YEAR(TODAY())-YEAR(T_CÓDIGO[[#This Row],[FECHA DE NACIMIENTO]])-IF(OR(MONTH(TODAY())&lt;MONTH(E262),AND(MONTH(TODAY())=MONTH(E262),DAY(TODAY())&lt;DAY(E262))),1,0))</f>
        <v>33</v>
      </c>
    </row>
    <row r="263" spans="1:6" x14ac:dyDescent="0.3">
      <c r="A263" s="34" t="s">
        <v>509</v>
      </c>
      <c r="B263" s="34" t="s">
        <v>833</v>
      </c>
      <c r="C263" s="34" t="s">
        <v>260</v>
      </c>
      <c r="D263" s="35" t="s">
        <v>12</v>
      </c>
      <c r="E263" s="36">
        <v>34401</v>
      </c>
      <c r="F263" s="37">
        <f ca="1">IF(T_CÓDIGO[[#This Row],[FECHA DE NACIMIENTO]]="","",YEAR(TODAY())-YEAR(T_CÓDIGO[[#This Row],[FECHA DE NACIMIENTO]])-IF(OR(MONTH(TODAY())&lt;MONTH(E263),AND(MONTH(TODAY())=MONTH(E263),DAY(TODAY())&lt;DAY(E263))),1,0))</f>
        <v>30</v>
      </c>
    </row>
    <row r="264" spans="1:6" x14ac:dyDescent="0.3">
      <c r="A264" s="34" t="s">
        <v>834</v>
      </c>
      <c r="B264" s="34">
        <v>1105227092</v>
      </c>
      <c r="C264" s="34" t="s">
        <v>277</v>
      </c>
      <c r="D264" s="35" t="s">
        <v>12</v>
      </c>
      <c r="E264" s="36">
        <v>34264</v>
      </c>
      <c r="F264" s="37">
        <f ca="1">IF(T_CÓDIGO[[#This Row],[FECHA DE NACIMIENTO]]="","",YEAR(TODAY())-YEAR(T_CÓDIGO[[#This Row],[FECHA DE NACIMIENTO]])-IF(OR(MONTH(TODAY())&lt;MONTH(E264),AND(MONTH(TODAY())=MONTH(E264),DAY(TODAY())&lt;DAY(E264))),1,0))</f>
        <v>31</v>
      </c>
    </row>
    <row r="265" spans="1:6" x14ac:dyDescent="0.3">
      <c r="A265" s="34" t="s">
        <v>510</v>
      </c>
      <c r="B265" s="34" t="s">
        <v>511</v>
      </c>
      <c r="C265" s="34" t="s">
        <v>503</v>
      </c>
      <c r="D265" s="35" t="s">
        <v>12</v>
      </c>
      <c r="E265" s="36">
        <v>35419</v>
      </c>
      <c r="F265" s="37">
        <f ca="1">IF(T_CÓDIGO[[#This Row],[FECHA DE NACIMIENTO]]="","",YEAR(TODAY())-YEAR(T_CÓDIGO[[#This Row],[FECHA DE NACIMIENTO]])-IF(OR(MONTH(TODAY())&lt;MONTH(E265),AND(MONTH(TODAY())=MONTH(E265),DAY(TODAY())&lt;DAY(E265))),1,0))</f>
        <v>27</v>
      </c>
    </row>
    <row r="266" spans="1:6" x14ac:dyDescent="0.3">
      <c r="A266" s="34" t="s">
        <v>122</v>
      </c>
      <c r="B266" s="34" t="s">
        <v>512</v>
      </c>
      <c r="C266" s="34" t="s">
        <v>387</v>
      </c>
      <c r="D266" s="35" t="s">
        <v>12</v>
      </c>
      <c r="E266" s="36">
        <v>32390</v>
      </c>
      <c r="F266" s="37">
        <f ca="1">IF(T_CÓDIGO[[#This Row],[FECHA DE NACIMIENTO]]="","",YEAR(TODAY())-YEAR(T_CÓDIGO[[#This Row],[FECHA DE NACIMIENTO]])-IF(OR(MONTH(TODAY())&lt;MONTH(E266),AND(MONTH(TODAY())=MONTH(E266),DAY(TODAY())&lt;DAY(E266))),1,0))</f>
        <v>36</v>
      </c>
    </row>
    <row r="267" spans="1:6" x14ac:dyDescent="0.3">
      <c r="A267" s="34" t="s">
        <v>134</v>
      </c>
      <c r="B267" s="34" t="s">
        <v>513</v>
      </c>
      <c r="C267" s="34" t="s">
        <v>262</v>
      </c>
      <c r="D267" s="35" t="s">
        <v>12</v>
      </c>
      <c r="E267" s="36">
        <v>35029</v>
      </c>
      <c r="F267" s="37">
        <f ca="1">IF(T_CÓDIGO[[#This Row],[FECHA DE NACIMIENTO]]="","",YEAR(TODAY())-YEAR(T_CÓDIGO[[#This Row],[FECHA DE NACIMIENTO]])-IF(OR(MONTH(TODAY())&lt;MONTH(E267),AND(MONTH(TODAY())=MONTH(E267),DAY(TODAY())&lt;DAY(E267))),1,0))</f>
        <v>29</v>
      </c>
    </row>
    <row r="268" spans="1:6" x14ac:dyDescent="0.3">
      <c r="A268" s="34" t="s">
        <v>34</v>
      </c>
      <c r="B268" s="34" t="s">
        <v>514</v>
      </c>
      <c r="C268" s="34" t="s">
        <v>262</v>
      </c>
      <c r="D268" s="35" t="s">
        <v>12</v>
      </c>
      <c r="E268" s="36">
        <v>37436</v>
      </c>
      <c r="F268" s="37">
        <f ca="1">IF(T_CÓDIGO[[#This Row],[FECHA DE NACIMIENTO]]="","",YEAR(TODAY())-YEAR(T_CÓDIGO[[#This Row],[FECHA DE NACIMIENTO]])-IF(OR(MONTH(TODAY())&lt;MONTH(E268),AND(MONTH(TODAY())=MONTH(E268),DAY(TODAY())&lt;DAY(E268))),1,0))</f>
        <v>22</v>
      </c>
    </row>
    <row r="269" spans="1:6" x14ac:dyDescent="0.3">
      <c r="A269" s="34" t="s">
        <v>835</v>
      </c>
      <c r="B269" s="34">
        <v>1104269939</v>
      </c>
      <c r="C269" s="34" t="s">
        <v>422</v>
      </c>
      <c r="D269" s="35" t="s">
        <v>12</v>
      </c>
      <c r="E269" s="36">
        <v>37085</v>
      </c>
      <c r="F269" s="37">
        <f ca="1">IF(T_CÓDIGO[[#This Row],[FECHA DE NACIMIENTO]]="","",YEAR(TODAY())-YEAR(T_CÓDIGO[[#This Row],[FECHA DE NACIMIENTO]])-IF(OR(MONTH(TODAY())&lt;MONTH(E269),AND(MONTH(TODAY())=MONTH(E269),DAY(TODAY())&lt;DAY(E269))),1,0))</f>
        <v>23</v>
      </c>
    </row>
    <row r="270" spans="1:6" x14ac:dyDescent="0.3">
      <c r="A270" s="34" t="s">
        <v>37</v>
      </c>
      <c r="B270" s="34">
        <v>1717826257</v>
      </c>
      <c r="C270" s="34" t="s">
        <v>274</v>
      </c>
      <c r="D270" s="35" t="s">
        <v>12</v>
      </c>
      <c r="E270" s="36">
        <v>33330</v>
      </c>
      <c r="F270" s="37">
        <f ca="1">IF(T_CÓDIGO[[#This Row],[FECHA DE NACIMIENTO]]="","",YEAR(TODAY())-YEAR(T_CÓDIGO[[#This Row],[FECHA DE NACIMIENTO]])-IF(OR(MONTH(TODAY())&lt;MONTH(E270),AND(MONTH(TODAY())=MONTH(E270),DAY(TODAY())&lt;DAY(E270))),1,0))</f>
        <v>33</v>
      </c>
    </row>
    <row r="271" spans="1:6" x14ac:dyDescent="0.3">
      <c r="A271" s="34" t="s">
        <v>836</v>
      </c>
      <c r="B271" s="34" t="s">
        <v>837</v>
      </c>
      <c r="C271" s="34" t="s">
        <v>260</v>
      </c>
      <c r="D271" s="35" t="s">
        <v>12</v>
      </c>
      <c r="E271" s="36">
        <v>37580</v>
      </c>
      <c r="F271" s="37">
        <f ca="1">IF(T_CÓDIGO[[#This Row],[FECHA DE NACIMIENTO]]="","",YEAR(TODAY())-YEAR(T_CÓDIGO[[#This Row],[FECHA DE NACIMIENTO]])-IF(OR(MONTH(TODAY())&lt;MONTH(E271),AND(MONTH(TODAY())=MONTH(E271),DAY(TODAY())&lt;DAY(E271))),1,0))</f>
        <v>22</v>
      </c>
    </row>
    <row r="272" spans="1:6" x14ac:dyDescent="0.3">
      <c r="A272" s="34" t="s">
        <v>838</v>
      </c>
      <c r="B272" s="34" t="s">
        <v>407</v>
      </c>
      <c r="C272" s="34" t="s">
        <v>387</v>
      </c>
      <c r="D272" s="35" t="s">
        <v>24</v>
      </c>
      <c r="E272" s="36" t="s">
        <v>839</v>
      </c>
      <c r="F272" s="37">
        <f ca="1">IF(T_CÓDIGO[[#This Row],[FECHA DE NACIMIENTO]]="","",YEAR(TODAY())-YEAR(T_CÓDIGO[[#This Row],[FECHA DE NACIMIENTO]])-IF(OR(MONTH(TODAY())&lt;MONTH(E272),AND(MONTH(TODAY())=MONTH(E272),DAY(TODAY())&lt;DAY(E272))),1,0))</f>
        <v>29</v>
      </c>
    </row>
    <row r="273" spans="1:6" x14ac:dyDescent="0.3">
      <c r="A273" s="34" t="s">
        <v>75</v>
      </c>
      <c r="B273" s="34" t="s">
        <v>516</v>
      </c>
      <c r="C273" s="34" t="s">
        <v>444</v>
      </c>
      <c r="D273" s="35" t="s">
        <v>12</v>
      </c>
      <c r="E273" s="36">
        <v>32596</v>
      </c>
      <c r="F273" s="37">
        <f ca="1">IF(T_CÓDIGO[[#This Row],[FECHA DE NACIMIENTO]]="","",YEAR(TODAY())-YEAR(T_CÓDIGO[[#This Row],[FECHA DE NACIMIENTO]])-IF(OR(MONTH(TODAY())&lt;MONTH(E273),AND(MONTH(TODAY())=MONTH(E273),DAY(TODAY())&lt;DAY(E273))),1,0))</f>
        <v>35</v>
      </c>
    </row>
    <row r="274" spans="1:6" x14ac:dyDescent="0.3">
      <c r="A274" s="34" t="s">
        <v>840</v>
      </c>
      <c r="B274" s="34" t="s">
        <v>841</v>
      </c>
      <c r="C274" s="34" t="s">
        <v>783</v>
      </c>
      <c r="D274" s="35" t="s">
        <v>24</v>
      </c>
      <c r="E274" s="36" t="s">
        <v>842</v>
      </c>
      <c r="F274" s="37">
        <f ca="1">IF(T_CÓDIGO[[#This Row],[FECHA DE NACIMIENTO]]="","",YEAR(TODAY())-YEAR(T_CÓDIGO[[#This Row],[FECHA DE NACIMIENTO]])-IF(OR(MONTH(TODAY())&lt;MONTH(E274),AND(MONTH(TODAY())=MONTH(E274),DAY(TODAY())&lt;DAY(E274))),1,0))</f>
        <v>27</v>
      </c>
    </row>
    <row r="275" spans="1:6" x14ac:dyDescent="0.3">
      <c r="A275" s="34" t="s">
        <v>517</v>
      </c>
      <c r="B275" s="34">
        <v>1401217383</v>
      </c>
      <c r="C275" s="34" t="s">
        <v>260</v>
      </c>
      <c r="D275" s="35" t="s">
        <v>12</v>
      </c>
      <c r="E275" s="36">
        <v>36318</v>
      </c>
      <c r="F275" s="37">
        <f ca="1">IF(T_CÓDIGO[[#This Row],[FECHA DE NACIMIENTO]]="","",YEAR(TODAY())-YEAR(T_CÓDIGO[[#This Row],[FECHA DE NACIMIENTO]])-IF(OR(MONTH(TODAY())&lt;MONTH(E275),AND(MONTH(TODAY())=MONTH(E275),DAY(TODAY())&lt;DAY(E275))),1,0))</f>
        <v>25</v>
      </c>
    </row>
    <row r="276" spans="1:6" x14ac:dyDescent="0.3">
      <c r="A276" s="34" t="s">
        <v>843</v>
      </c>
      <c r="B276" s="34" t="s">
        <v>844</v>
      </c>
      <c r="C276" s="34" t="s">
        <v>260</v>
      </c>
      <c r="D276" s="35" t="s">
        <v>12</v>
      </c>
      <c r="E276" s="36">
        <v>32445</v>
      </c>
      <c r="F276" s="37">
        <f ca="1">IF(T_CÓDIGO[[#This Row],[FECHA DE NACIMIENTO]]="","",YEAR(TODAY())-YEAR(T_CÓDIGO[[#This Row],[FECHA DE NACIMIENTO]])-IF(OR(MONTH(TODAY())&lt;MONTH(E276),AND(MONTH(TODAY())=MONTH(E276),DAY(TODAY())&lt;DAY(E276))),1,0))</f>
        <v>36</v>
      </c>
    </row>
    <row r="277" spans="1:6" x14ac:dyDescent="0.3">
      <c r="A277" s="34" t="s">
        <v>845</v>
      </c>
      <c r="B277" s="34">
        <v>1401017171</v>
      </c>
      <c r="C277" s="34" t="s">
        <v>260</v>
      </c>
      <c r="D277" s="35" t="s">
        <v>12</v>
      </c>
      <c r="E277" s="36">
        <v>33917</v>
      </c>
      <c r="F277" s="37">
        <f ca="1">IF(T_CÓDIGO[[#This Row],[FECHA DE NACIMIENTO]]="","",YEAR(TODAY())-YEAR(T_CÓDIGO[[#This Row],[FECHA DE NACIMIENTO]])-IF(OR(MONTH(TODAY())&lt;MONTH(E277),AND(MONTH(TODAY())=MONTH(E277),DAY(TODAY())&lt;DAY(E277))),1,0))</f>
        <v>32</v>
      </c>
    </row>
    <row r="278" spans="1:6" x14ac:dyDescent="0.3">
      <c r="A278" s="34" t="s">
        <v>158</v>
      </c>
      <c r="B278" s="34" t="s">
        <v>518</v>
      </c>
      <c r="C278" s="34" t="s">
        <v>279</v>
      </c>
      <c r="D278" s="35" t="s">
        <v>12</v>
      </c>
      <c r="E278" s="36">
        <v>35052</v>
      </c>
      <c r="F278" s="37">
        <f ca="1">IF(T_CÓDIGO[[#This Row],[FECHA DE NACIMIENTO]]="","",YEAR(TODAY())-YEAR(T_CÓDIGO[[#This Row],[FECHA DE NACIMIENTO]])-IF(OR(MONTH(TODAY())&lt;MONTH(E278),AND(MONTH(TODAY())=MONTH(E278),DAY(TODAY())&lt;DAY(E278))),1,0))</f>
        <v>28</v>
      </c>
    </row>
    <row r="279" spans="1:6" x14ac:dyDescent="0.3">
      <c r="A279" s="34" t="s">
        <v>519</v>
      </c>
      <c r="B279" s="34">
        <v>1722661939</v>
      </c>
      <c r="C279" s="34" t="s">
        <v>279</v>
      </c>
      <c r="D279" s="35" t="s">
        <v>12</v>
      </c>
      <c r="E279" s="36">
        <v>34350</v>
      </c>
      <c r="F279" s="37">
        <f ca="1">IF(T_CÓDIGO[[#This Row],[FECHA DE NACIMIENTO]]="","",YEAR(TODAY())-YEAR(T_CÓDIGO[[#This Row],[FECHA DE NACIMIENTO]])-IF(OR(MONTH(TODAY())&lt;MONTH(E279),AND(MONTH(TODAY())=MONTH(E279),DAY(TODAY())&lt;DAY(E279))),1,0))</f>
        <v>30</v>
      </c>
    </row>
    <row r="280" spans="1:6" x14ac:dyDescent="0.3">
      <c r="A280" s="34" t="s">
        <v>64</v>
      </c>
      <c r="B280" s="34">
        <v>1720026481</v>
      </c>
      <c r="C280" s="34" t="s">
        <v>387</v>
      </c>
      <c r="D280" s="35" t="s">
        <v>12</v>
      </c>
      <c r="E280" s="36">
        <v>33622</v>
      </c>
      <c r="F280" s="37">
        <f ca="1">IF(T_CÓDIGO[[#This Row],[FECHA DE NACIMIENTO]]="","",YEAR(TODAY())-YEAR(T_CÓDIGO[[#This Row],[FECHA DE NACIMIENTO]])-IF(OR(MONTH(TODAY())&lt;MONTH(E280),AND(MONTH(TODAY())=MONTH(E280),DAY(TODAY())&lt;DAY(E280))),1,0))</f>
        <v>32</v>
      </c>
    </row>
    <row r="281" spans="1:6" x14ac:dyDescent="0.3">
      <c r="A281" s="34" t="s">
        <v>520</v>
      </c>
      <c r="B281" s="34" t="s">
        <v>521</v>
      </c>
      <c r="C281" s="34" t="s">
        <v>260</v>
      </c>
      <c r="D281" s="35" t="s">
        <v>12</v>
      </c>
      <c r="E281" s="36">
        <v>35656</v>
      </c>
      <c r="F281" s="37">
        <f ca="1">IF(T_CÓDIGO[[#This Row],[FECHA DE NACIMIENTO]]="","",YEAR(TODAY())-YEAR(T_CÓDIGO[[#This Row],[FECHA DE NACIMIENTO]])-IF(OR(MONTH(TODAY())&lt;MONTH(E281),AND(MONTH(TODAY())=MONTH(E281),DAY(TODAY())&lt;DAY(E281))),1,0))</f>
        <v>27</v>
      </c>
    </row>
    <row r="282" spans="1:6" x14ac:dyDescent="0.3">
      <c r="A282" s="34" t="s">
        <v>18</v>
      </c>
      <c r="B282" s="34" t="s">
        <v>522</v>
      </c>
      <c r="C282" s="34" t="s">
        <v>262</v>
      </c>
      <c r="D282" s="35" t="s">
        <v>12</v>
      </c>
      <c r="E282" s="36">
        <v>32613</v>
      </c>
      <c r="F282" s="37">
        <f ca="1">IF(T_CÓDIGO[[#This Row],[FECHA DE NACIMIENTO]]="","",YEAR(TODAY())-YEAR(T_CÓDIGO[[#This Row],[FECHA DE NACIMIENTO]])-IF(OR(MONTH(TODAY())&lt;MONTH(E282),AND(MONTH(TODAY())=MONTH(E282),DAY(TODAY())&lt;DAY(E282))),1,0))</f>
        <v>35</v>
      </c>
    </row>
    <row r="283" spans="1:6" x14ac:dyDescent="0.3">
      <c r="A283" s="34" t="s">
        <v>523</v>
      </c>
      <c r="B283" s="34" t="s">
        <v>524</v>
      </c>
      <c r="C283" s="34" t="s">
        <v>262</v>
      </c>
      <c r="D283" s="35" t="s">
        <v>12</v>
      </c>
      <c r="E283" s="36">
        <v>35963</v>
      </c>
      <c r="F283" s="37">
        <f ca="1">IF(T_CÓDIGO[[#This Row],[FECHA DE NACIMIENTO]]="","",YEAR(TODAY())-YEAR(T_CÓDIGO[[#This Row],[FECHA DE NACIMIENTO]])-IF(OR(MONTH(TODAY())&lt;MONTH(E283),AND(MONTH(TODAY())=MONTH(E283),DAY(TODAY())&lt;DAY(E283))),1,0))</f>
        <v>26</v>
      </c>
    </row>
    <row r="284" spans="1:6" x14ac:dyDescent="0.3">
      <c r="A284" s="34" t="s">
        <v>149</v>
      </c>
      <c r="B284" s="34">
        <v>1722408729</v>
      </c>
      <c r="C284" s="34" t="s">
        <v>392</v>
      </c>
      <c r="D284" s="35" t="s">
        <v>12</v>
      </c>
      <c r="E284" s="36">
        <v>35273</v>
      </c>
      <c r="F284" s="37">
        <f ca="1">IF(T_CÓDIGO[[#This Row],[FECHA DE NACIMIENTO]]="","",YEAR(TODAY())-YEAR(T_CÓDIGO[[#This Row],[FECHA DE NACIMIENTO]])-IF(OR(MONTH(TODAY())&lt;MONTH(E284),AND(MONTH(TODAY())=MONTH(E284),DAY(TODAY())&lt;DAY(E284))),1,0))</f>
        <v>28</v>
      </c>
    </row>
    <row r="285" spans="1:6" x14ac:dyDescent="0.3">
      <c r="A285" s="34" t="s">
        <v>525</v>
      </c>
      <c r="B285" s="34" t="s">
        <v>526</v>
      </c>
      <c r="C285" s="34" t="s">
        <v>260</v>
      </c>
      <c r="D285" s="35" t="s">
        <v>12</v>
      </c>
      <c r="E285" s="36">
        <v>28118</v>
      </c>
      <c r="F285" s="37">
        <f ca="1">IF(T_CÓDIGO[[#This Row],[FECHA DE NACIMIENTO]]="","",YEAR(TODAY())-YEAR(T_CÓDIGO[[#This Row],[FECHA DE NACIMIENTO]])-IF(OR(MONTH(TODAY())&lt;MONTH(E285),AND(MONTH(TODAY())=MONTH(E285),DAY(TODAY())&lt;DAY(E285))),1,0))</f>
        <v>47</v>
      </c>
    </row>
    <row r="286" spans="1:6" x14ac:dyDescent="0.3">
      <c r="A286" s="34" t="s">
        <v>527</v>
      </c>
      <c r="B286" s="34" t="s">
        <v>528</v>
      </c>
      <c r="C286" s="34" t="s">
        <v>262</v>
      </c>
      <c r="D286" s="35" t="s">
        <v>12</v>
      </c>
      <c r="E286" s="36">
        <v>31995</v>
      </c>
      <c r="F286" s="37">
        <f ca="1">IF(T_CÓDIGO[[#This Row],[FECHA DE NACIMIENTO]]="","",YEAR(TODAY())-YEAR(T_CÓDIGO[[#This Row],[FECHA DE NACIMIENTO]])-IF(OR(MONTH(TODAY())&lt;MONTH(E286),AND(MONTH(TODAY())=MONTH(E286),DAY(TODAY())&lt;DAY(E286))),1,0))</f>
        <v>37</v>
      </c>
    </row>
    <row r="287" spans="1:6" x14ac:dyDescent="0.3">
      <c r="A287" s="34" t="s">
        <v>529</v>
      </c>
      <c r="B287" s="34" t="s">
        <v>530</v>
      </c>
      <c r="C287" s="34" t="s">
        <v>262</v>
      </c>
      <c r="D287" s="35" t="s">
        <v>12</v>
      </c>
      <c r="E287" s="36">
        <v>34903</v>
      </c>
      <c r="F287" s="37">
        <f ca="1">IF(T_CÓDIGO[[#This Row],[FECHA DE NACIMIENTO]]="","",YEAR(TODAY())-YEAR(T_CÓDIGO[[#This Row],[FECHA DE NACIMIENTO]])-IF(OR(MONTH(TODAY())&lt;MONTH(E287),AND(MONTH(TODAY())=MONTH(E287),DAY(TODAY())&lt;DAY(E287))),1,0))</f>
        <v>29</v>
      </c>
    </row>
    <row r="288" spans="1:6" x14ac:dyDescent="0.3">
      <c r="A288" s="34" t="s">
        <v>531</v>
      </c>
      <c r="B288" s="34">
        <v>2200521207</v>
      </c>
      <c r="C288" s="34" t="s">
        <v>260</v>
      </c>
      <c r="D288" s="35" t="s">
        <v>12</v>
      </c>
      <c r="E288" s="36">
        <v>34762</v>
      </c>
      <c r="F288" s="37">
        <f ca="1">IF(T_CÓDIGO[[#This Row],[FECHA DE NACIMIENTO]]="","",YEAR(TODAY())-YEAR(T_CÓDIGO[[#This Row],[FECHA DE NACIMIENTO]])-IF(OR(MONTH(TODAY())&lt;MONTH(E288),AND(MONTH(TODAY())=MONTH(E288),DAY(TODAY())&lt;DAY(E288))),1,0))</f>
        <v>29</v>
      </c>
    </row>
    <row r="289" spans="1:6" x14ac:dyDescent="0.3">
      <c r="A289" s="34" t="s">
        <v>104</v>
      </c>
      <c r="B289" s="34">
        <v>1004510630</v>
      </c>
      <c r="C289" s="34" t="s">
        <v>260</v>
      </c>
      <c r="D289" s="35" t="s">
        <v>12</v>
      </c>
      <c r="E289" s="36">
        <v>36597</v>
      </c>
      <c r="F289" s="37">
        <f ca="1">IF(T_CÓDIGO[[#This Row],[FECHA DE NACIMIENTO]]="","",YEAR(TODAY())-YEAR(T_CÓDIGO[[#This Row],[FECHA DE NACIMIENTO]])-IF(OR(MONTH(TODAY())&lt;MONTH(E289),AND(MONTH(TODAY())=MONTH(E289),DAY(TODAY())&lt;DAY(E289))),1,0))</f>
        <v>24</v>
      </c>
    </row>
    <row r="290" spans="1:6" x14ac:dyDescent="0.3">
      <c r="A290" s="34" t="s">
        <v>82</v>
      </c>
      <c r="B290" s="34">
        <v>1004606347</v>
      </c>
      <c r="C290" s="34" t="s">
        <v>260</v>
      </c>
      <c r="D290" s="35" t="s">
        <v>12</v>
      </c>
      <c r="E290" s="36">
        <v>34189</v>
      </c>
      <c r="F290" s="37">
        <f ca="1">IF(T_CÓDIGO[[#This Row],[FECHA DE NACIMIENTO]]="","",YEAR(TODAY())-YEAR(T_CÓDIGO[[#This Row],[FECHA DE NACIMIENTO]])-IF(OR(MONTH(TODAY())&lt;MONTH(E290),AND(MONTH(TODAY())=MONTH(E290),DAY(TODAY())&lt;DAY(E290))),1,0))</f>
        <v>31</v>
      </c>
    </row>
    <row r="291" spans="1:6" x14ac:dyDescent="0.3">
      <c r="A291" s="34" t="s">
        <v>691</v>
      </c>
      <c r="B291" s="34" t="s">
        <v>692</v>
      </c>
      <c r="C291" s="34" t="s">
        <v>260</v>
      </c>
      <c r="D291" s="35" t="s">
        <v>12</v>
      </c>
      <c r="E291" s="36">
        <v>29162</v>
      </c>
      <c r="F291" s="37">
        <f ca="1">IF(T_CÓDIGO[[#This Row],[FECHA DE NACIMIENTO]]="","",YEAR(TODAY())-YEAR(T_CÓDIGO[[#This Row],[FECHA DE NACIMIENTO]])-IF(OR(MONTH(TODAY())&lt;MONTH(E291),AND(MONTH(TODAY())=MONTH(E291),DAY(TODAY())&lt;DAY(E291))),1,0))</f>
        <v>45</v>
      </c>
    </row>
    <row r="292" spans="1:6" x14ac:dyDescent="0.3">
      <c r="A292" s="34" t="s">
        <v>532</v>
      </c>
      <c r="B292" s="34">
        <v>1401202062</v>
      </c>
      <c r="C292" s="34" t="s">
        <v>260</v>
      </c>
      <c r="D292" s="35" t="s">
        <v>12</v>
      </c>
      <c r="E292" s="36">
        <v>37399</v>
      </c>
      <c r="F292" s="37">
        <f ca="1">IF(T_CÓDIGO[[#This Row],[FECHA DE NACIMIENTO]]="","",YEAR(TODAY())-YEAR(T_CÓDIGO[[#This Row],[FECHA DE NACIMIENTO]])-IF(OR(MONTH(TODAY())&lt;MONTH(E292),AND(MONTH(TODAY())=MONTH(E292),DAY(TODAY())&lt;DAY(E292))),1,0))</f>
        <v>22</v>
      </c>
    </row>
    <row r="293" spans="1:6" x14ac:dyDescent="0.3">
      <c r="A293" s="34" t="s">
        <v>533</v>
      </c>
      <c r="B293" s="34">
        <v>1722037841</v>
      </c>
      <c r="C293" s="34" t="s">
        <v>271</v>
      </c>
      <c r="D293" s="35" t="s">
        <v>12</v>
      </c>
      <c r="E293" s="36">
        <v>33216</v>
      </c>
      <c r="F293" s="37">
        <f ca="1">IF(T_CÓDIGO[[#This Row],[FECHA DE NACIMIENTO]]="","",YEAR(TODAY())-YEAR(T_CÓDIGO[[#This Row],[FECHA DE NACIMIENTO]])-IF(OR(MONTH(TODAY())&lt;MONTH(E293),AND(MONTH(TODAY())=MONTH(E293),DAY(TODAY())&lt;DAY(E293))),1,0))</f>
        <v>34</v>
      </c>
    </row>
    <row r="294" spans="1:6" x14ac:dyDescent="0.3">
      <c r="A294" s="34" t="s">
        <v>534</v>
      </c>
      <c r="B294" s="34">
        <v>1900618479</v>
      </c>
      <c r="C294" s="34" t="s">
        <v>260</v>
      </c>
      <c r="D294" s="35" t="s">
        <v>12</v>
      </c>
      <c r="E294" s="36">
        <v>32286</v>
      </c>
      <c r="F294" s="37">
        <f ca="1">IF(T_CÓDIGO[[#This Row],[FECHA DE NACIMIENTO]]="","",YEAR(TODAY())-YEAR(T_CÓDIGO[[#This Row],[FECHA DE NACIMIENTO]])-IF(OR(MONTH(TODAY())&lt;MONTH(E294),AND(MONTH(TODAY())=MONTH(E294),DAY(TODAY())&lt;DAY(E294))),1,0))</f>
        <v>36</v>
      </c>
    </row>
    <row r="295" spans="1:6" x14ac:dyDescent="0.3">
      <c r="A295" s="34" t="s">
        <v>535</v>
      </c>
      <c r="B295" s="34">
        <v>1727979096</v>
      </c>
      <c r="C295" s="34" t="s">
        <v>515</v>
      </c>
      <c r="D295" s="35" t="s">
        <v>12</v>
      </c>
      <c r="E295" s="36">
        <v>36392</v>
      </c>
      <c r="F295" s="37">
        <f ca="1">IF(T_CÓDIGO[[#This Row],[FECHA DE NACIMIENTO]]="","",YEAR(TODAY())-YEAR(T_CÓDIGO[[#This Row],[FECHA DE NACIMIENTO]])-IF(OR(MONTH(TODAY())&lt;MONTH(E295),AND(MONTH(TODAY())=MONTH(E295),DAY(TODAY())&lt;DAY(E295))),1,0))</f>
        <v>25</v>
      </c>
    </row>
    <row r="296" spans="1:6" x14ac:dyDescent="0.3">
      <c r="A296" s="34" t="s">
        <v>41</v>
      </c>
      <c r="B296" s="34">
        <v>1004327084</v>
      </c>
      <c r="C296" s="34" t="s">
        <v>372</v>
      </c>
      <c r="D296" s="35" t="s">
        <v>12</v>
      </c>
      <c r="E296" s="36">
        <v>33216</v>
      </c>
      <c r="F296" s="37">
        <f ca="1">IF(T_CÓDIGO[[#This Row],[FECHA DE NACIMIENTO]]="","",YEAR(TODAY())-YEAR(T_CÓDIGO[[#This Row],[FECHA DE NACIMIENTO]])-IF(OR(MONTH(TODAY())&lt;MONTH(E296),AND(MONTH(TODAY())=MONTH(E296),DAY(TODAY())&lt;DAY(E296))),1,0))</f>
        <v>34</v>
      </c>
    </row>
    <row r="297" spans="1:6" x14ac:dyDescent="0.3">
      <c r="A297" s="34" t="s">
        <v>143</v>
      </c>
      <c r="B297" s="34">
        <v>1722529961</v>
      </c>
      <c r="C297" s="34" t="s">
        <v>277</v>
      </c>
      <c r="D297" s="35" t="s">
        <v>12</v>
      </c>
      <c r="E297" s="36">
        <v>35307</v>
      </c>
      <c r="F297" s="37">
        <f ca="1">IF(T_CÓDIGO[[#This Row],[FECHA DE NACIMIENTO]]="","",YEAR(TODAY())-YEAR(T_CÓDIGO[[#This Row],[FECHA DE NACIMIENTO]])-IF(OR(MONTH(TODAY())&lt;MONTH(E297),AND(MONTH(TODAY())=MONTH(E297),DAY(TODAY())&lt;DAY(E297))),1,0))</f>
        <v>28</v>
      </c>
    </row>
    <row r="298" spans="1:6" x14ac:dyDescent="0.3">
      <c r="A298" s="34" t="s">
        <v>536</v>
      </c>
      <c r="B298" s="34">
        <v>1723211312</v>
      </c>
      <c r="C298" s="34" t="s">
        <v>279</v>
      </c>
      <c r="D298" s="35" t="s">
        <v>12</v>
      </c>
      <c r="E298" s="36">
        <v>33525</v>
      </c>
      <c r="F298" s="37">
        <f ca="1">IF(T_CÓDIGO[[#This Row],[FECHA DE NACIMIENTO]]="","",YEAR(TODAY())-YEAR(T_CÓDIGO[[#This Row],[FECHA DE NACIMIENTO]])-IF(OR(MONTH(TODAY())&lt;MONTH(E298),AND(MONTH(TODAY())=MONTH(E298),DAY(TODAY())&lt;DAY(E298))),1,0))</f>
        <v>33</v>
      </c>
    </row>
    <row r="299" spans="1:6" x14ac:dyDescent="0.3">
      <c r="A299" s="34" t="s">
        <v>537</v>
      </c>
      <c r="B299" s="34" t="s">
        <v>538</v>
      </c>
      <c r="C299" s="34" t="s">
        <v>431</v>
      </c>
      <c r="D299" s="35" t="s">
        <v>24</v>
      </c>
      <c r="E299" s="36">
        <v>34308</v>
      </c>
      <c r="F299" s="37">
        <f ca="1">IF(T_CÓDIGO[[#This Row],[FECHA DE NACIMIENTO]]="","",YEAR(TODAY())-YEAR(T_CÓDIGO[[#This Row],[FECHA DE NACIMIENTO]])-IF(OR(MONTH(TODAY())&lt;MONTH(E299),AND(MONTH(TODAY())=MONTH(E299),DAY(TODAY())&lt;DAY(E299))),1,0))</f>
        <v>31</v>
      </c>
    </row>
    <row r="300" spans="1:6" x14ac:dyDescent="0.3">
      <c r="A300" s="34" t="s">
        <v>846</v>
      </c>
      <c r="B300" s="34" t="s">
        <v>847</v>
      </c>
      <c r="C300" s="34" t="s">
        <v>277</v>
      </c>
      <c r="D300" s="35" t="s">
        <v>12</v>
      </c>
      <c r="E300" s="36">
        <v>36566</v>
      </c>
      <c r="F300" s="37">
        <f ca="1">IF(T_CÓDIGO[[#This Row],[FECHA DE NACIMIENTO]]="","",YEAR(TODAY())-YEAR(T_CÓDIGO[[#This Row],[FECHA DE NACIMIENTO]])-IF(OR(MONTH(TODAY())&lt;MONTH(E300),AND(MONTH(TODAY())=MONTH(E300),DAY(TODAY())&lt;DAY(E300))),1,0))</f>
        <v>24</v>
      </c>
    </row>
    <row r="301" spans="1:6" x14ac:dyDescent="0.3">
      <c r="A301" s="34" t="s">
        <v>81</v>
      </c>
      <c r="B301" s="34" t="s">
        <v>848</v>
      </c>
      <c r="C301" s="34" t="s">
        <v>277</v>
      </c>
      <c r="D301" s="35" t="s">
        <v>12</v>
      </c>
      <c r="E301" s="36">
        <v>35173</v>
      </c>
      <c r="F301" s="37">
        <f ca="1">IF(T_CÓDIGO[[#This Row],[FECHA DE NACIMIENTO]]="","",YEAR(TODAY())-YEAR(T_CÓDIGO[[#This Row],[FECHA DE NACIMIENTO]])-IF(OR(MONTH(TODAY())&lt;MONTH(E301),AND(MONTH(TODAY())=MONTH(E301),DAY(TODAY())&lt;DAY(E301))),1,0))</f>
        <v>28</v>
      </c>
    </row>
    <row r="302" spans="1:6" x14ac:dyDescent="0.3">
      <c r="A302" s="34" t="s">
        <v>539</v>
      </c>
      <c r="B302" s="34">
        <v>1727326827</v>
      </c>
      <c r="C302" s="34" t="s">
        <v>260</v>
      </c>
      <c r="D302" s="35" t="s">
        <v>12</v>
      </c>
      <c r="E302" s="36">
        <v>33576</v>
      </c>
      <c r="F302" s="37">
        <f ca="1">IF(T_CÓDIGO[[#This Row],[FECHA DE NACIMIENTO]]="","",YEAR(TODAY())-YEAR(T_CÓDIGO[[#This Row],[FECHA DE NACIMIENTO]])-IF(OR(MONTH(TODAY())&lt;MONTH(E302),AND(MONTH(TODAY())=MONTH(E302),DAY(TODAY())&lt;DAY(E302))),1,0))</f>
        <v>33</v>
      </c>
    </row>
    <row r="303" spans="1:6" x14ac:dyDescent="0.3">
      <c r="A303" s="34" t="s">
        <v>849</v>
      </c>
      <c r="B303" s="34" t="s">
        <v>850</v>
      </c>
      <c r="C303" s="34" t="s">
        <v>260</v>
      </c>
      <c r="D303" s="35" t="s">
        <v>12</v>
      </c>
      <c r="E303" s="36">
        <v>32401</v>
      </c>
      <c r="F303" s="37">
        <f ca="1">IF(T_CÓDIGO[[#This Row],[FECHA DE NACIMIENTO]]="","",YEAR(TODAY())-YEAR(T_CÓDIGO[[#This Row],[FECHA DE NACIMIENTO]])-IF(OR(MONTH(TODAY())&lt;MONTH(E303),AND(MONTH(TODAY())=MONTH(E303),DAY(TODAY())&lt;DAY(E303))),1,0))</f>
        <v>36</v>
      </c>
    </row>
    <row r="304" spans="1:6" x14ac:dyDescent="0.3">
      <c r="A304" s="34" t="s">
        <v>25</v>
      </c>
      <c r="B304" s="34" t="s">
        <v>540</v>
      </c>
      <c r="C304" s="34" t="s">
        <v>372</v>
      </c>
      <c r="D304" s="35" t="s">
        <v>12</v>
      </c>
      <c r="E304" s="36">
        <v>34837</v>
      </c>
      <c r="F304" s="37">
        <f ca="1">IF(T_CÓDIGO[[#This Row],[FECHA DE NACIMIENTO]]="","",YEAR(TODAY())-YEAR(T_CÓDIGO[[#This Row],[FECHA DE NACIMIENTO]])-IF(OR(MONTH(TODAY())&lt;MONTH(E304),AND(MONTH(TODAY())=MONTH(E304),DAY(TODAY())&lt;DAY(E304))),1,0))</f>
        <v>29</v>
      </c>
    </row>
    <row r="305" spans="1:6" x14ac:dyDescent="0.3">
      <c r="A305" s="34" t="s">
        <v>541</v>
      </c>
      <c r="B305" s="34" t="s">
        <v>542</v>
      </c>
      <c r="C305" s="34" t="s">
        <v>262</v>
      </c>
      <c r="D305" s="35" t="s">
        <v>12</v>
      </c>
      <c r="E305" s="36">
        <v>35967</v>
      </c>
      <c r="F305" s="37">
        <f ca="1">IF(T_CÓDIGO[[#This Row],[FECHA DE NACIMIENTO]]="","",YEAR(TODAY())-YEAR(T_CÓDIGO[[#This Row],[FECHA DE NACIMIENTO]])-IF(OR(MONTH(TODAY())&lt;MONTH(E305),AND(MONTH(TODAY())=MONTH(E305),DAY(TODAY())&lt;DAY(E305))),1,0))</f>
        <v>26</v>
      </c>
    </row>
    <row r="306" spans="1:6" x14ac:dyDescent="0.3">
      <c r="A306" s="34" t="s">
        <v>543</v>
      </c>
      <c r="B306" s="34" t="s">
        <v>544</v>
      </c>
      <c r="C306" s="34" t="s">
        <v>262</v>
      </c>
      <c r="D306" s="35" t="s">
        <v>12</v>
      </c>
      <c r="E306" s="36">
        <v>34441</v>
      </c>
      <c r="F306" s="37">
        <f ca="1">IF(T_CÓDIGO[[#This Row],[FECHA DE NACIMIENTO]]="","",YEAR(TODAY())-YEAR(T_CÓDIGO[[#This Row],[FECHA DE NACIMIENTO]])-IF(OR(MONTH(TODAY())&lt;MONTH(E306),AND(MONTH(TODAY())=MONTH(E306),DAY(TODAY())&lt;DAY(E306))),1,0))</f>
        <v>30</v>
      </c>
    </row>
    <row r="307" spans="1:6" x14ac:dyDescent="0.3">
      <c r="A307" s="34" t="s">
        <v>102</v>
      </c>
      <c r="B307" s="34" t="s">
        <v>545</v>
      </c>
      <c r="C307" s="34" t="s">
        <v>392</v>
      </c>
      <c r="D307" s="35" t="s">
        <v>12</v>
      </c>
      <c r="E307" s="36">
        <v>33268</v>
      </c>
      <c r="F307" s="37">
        <f ca="1">IF(T_CÓDIGO[[#This Row],[FECHA DE NACIMIENTO]]="","",YEAR(TODAY())-YEAR(T_CÓDIGO[[#This Row],[FECHA DE NACIMIENTO]])-IF(OR(MONTH(TODAY())&lt;MONTH(E307),AND(MONTH(TODAY())=MONTH(E307),DAY(TODAY())&lt;DAY(E307))),1,0))</f>
        <v>33</v>
      </c>
    </row>
    <row r="308" spans="1:6" x14ac:dyDescent="0.3">
      <c r="A308" s="34" t="s">
        <v>107</v>
      </c>
      <c r="B308" s="34" t="s">
        <v>546</v>
      </c>
      <c r="C308" s="34" t="s">
        <v>300</v>
      </c>
      <c r="D308" s="35" t="s">
        <v>12</v>
      </c>
      <c r="E308" s="36">
        <v>33903</v>
      </c>
      <c r="F308" s="37">
        <f ca="1">IF(T_CÓDIGO[[#This Row],[FECHA DE NACIMIENTO]]="","",YEAR(TODAY())-YEAR(T_CÓDIGO[[#This Row],[FECHA DE NACIMIENTO]])-IF(OR(MONTH(TODAY())&lt;MONTH(E308),AND(MONTH(TODAY())=MONTH(E308),DAY(TODAY())&lt;DAY(E308))),1,0))</f>
        <v>32</v>
      </c>
    </row>
    <row r="309" spans="1:6" x14ac:dyDescent="0.3">
      <c r="A309" s="34" t="s">
        <v>547</v>
      </c>
      <c r="B309" s="34" t="s">
        <v>548</v>
      </c>
      <c r="C309" s="34" t="s">
        <v>262</v>
      </c>
      <c r="D309" s="35" t="s">
        <v>12</v>
      </c>
      <c r="E309" s="36" t="s">
        <v>549</v>
      </c>
      <c r="F309" s="37">
        <f ca="1">IF(T_CÓDIGO[[#This Row],[FECHA DE NACIMIENTO]]="","",YEAR(TODAY())-YEAR(T_CÓDIGO[[#This Row],[FECHA DE NACIMIENTO]])-IF(OR(MONTH(TODAY())&lt;MONTH(E309),AND(MONTH(TODAY())=MONTH(E309),DAY(TODAY())&lt;DAY(E309))),1,0))</f>
        <v>28</v>
      </c>
    </row>
    <row r="310" spans="1:6" x14ac:dyDescent="0.3">
      <c r="A310" s="34" t="s">
        <v>550</v>
      </c>
      <c r="B310" s="34" t="s">
        <v>551</v>
      </c>
      <c r="C310" s="34" t="s">
        <v>552</v>
      </c>
      <c r="D310" s="35" t="s">
        <v>24</v>
      </c>
      <c r="E310" s="36">
        <v>31850</v>
      </c>
      <c r="F310" s="37">
        <f ca="1">IF(T_CÓDIGO[[#This Row],[FECHA DE NACIMIENTO]]="","",YEAR(TODAY())-YEAR(T_CÓDIGO[[#This Row],[FECHA DE NACIMIENTO]])-IF(OR(MONTH(TODAY())&lt;MONTH(E310),AND(MONTH(TODAY())=MONTH(E310),DAY(TODAY())&lt;DAY(E310))),1,0))</f>
        <v>37</v>
      </c>
    </row>
    <row r="311" spans="1:6" x14ac:dyDescent="0.3">
      <c r="A311" s="34" t="s">
        <v>11</v>
      </c>
      <c r="B311" s="34">
        <v>2350057622</v>
      </c>
      <c r="C311" s="34" t="s">
        <v>260</v>
      </c>
      <c r="D311" s="35" t="s">
        <v>12</v>
      </c>
      <c r="E311" s="36">
        <v>35827</v>
      </c>
      <c r="F311" s="37">
        <f ca="1">IF(T_CÓDIGO[[#This Row],[FECHA DE NACIMIENTO]]="","",YEAR(TODAY())-YEAR(T_CÓDIGO[[#This Row],[FECHA DE NACIMIENTO]])-IF(OR(MONTH(TODAY())&lt;MONTH(E311),AND(MONTH(TODAY())=MONTH(E311),DAY(TODAY())&lt;DAY(E311))),1,0))</f>
        <v>26</v>
      </c>
    </row>
    <row r="312" spans="1:6" x14ac:dyDescent="0.3">
      <c r="A312" s="34" t="s">
        <v>553</v>
      </c>
      <c r="B312" s="34" t="s">
        <v>554</v>
      </c>
      <c r="C312" s="34" t="s">
        <v>279</v>
      </c>
      <c r="D312" s="35" t="s">
        <v>12</v>
      </c>
      <c r="E312" s="36">
        <v>33905</v>
      </c>
      <c r="F312" s="37">
        <f ca="1">IF(T_CÓDIGO[[#This Row],[FECHA DE NACIMIENTO]]="","",YEAR(TODAY())-YEAR(T_CÓDIGO[[#This Row],[FECHA DE NACIMIENTO]])-IF(OR(MONTH(TODAY())&lt;MONTH(E312),AND(MONTH(TODAY())=MONTH(E312),DAY(TODAY())&lt;DAY(E312))),1,0))</f>
        <v>32</v>
      </c>
    </row>
    <row r="313" spans="1:6" x14ac:dyDescent="0.3">
      <c r="A313" s="34" t="s">
        <v>93</v>
      </c>
      <c r="B313" s="34">
        <v>1401046972</v>
      </c>
      <c r="C313" s="34" t="s">
        <v>279</v>
      </c>
      <c r="D313" s="35" t="s">
        <v>12</v>
      </c>
      <c r="E313" s="36">
        <v>34675</v>
      </c>
      <c r="F313" s="37">
        <f ca="1">IF(T_CÓDIGO[[#This Row],[FECHA DE NACIMIENTO]]="","",YEAR(TODAY())-YEAR(T_CÓDIGO[[#This Row],[FECHA DE NACIMIENTO]])-IF(OR(MONTH(TODAY())&lt;MONTH(E313),AND(MONTH(TODAY())=MONTH(E313),DAY(TODAY())&lt;DAY(E313))),1,0))</f>
        <v>30</v>
      </c>
    </row>
    <row r="314" spans="1:6" x14ac:dyDescent="0.3">
      <c r="A314" s="34" t="s">
        <v>555</v>
      </c>
      <c r="B314" s="34">
        <v>1004039127</v>
      </c>
      <c r="C314" s="34" t="s">
        <v>260</v>
      </c>
      <c r="D314" s="35" t="s">
        <v>12</v>
      </c>
      <c r="E314" s="36">
        <v>34944</v>
      </c>
      <c r="F314" s="37">
        <f ca="1">IF(T_CÓDIGO[[#This Row],[FECHA DE NACIMIENTO]]="","",YEAR(TODAY())-YEAR(T_CÓDIGO[[#This Row],[FECHA DE NACIMIENTO]])-IF(OR(MONTH(TODAY())&lt;MONTH(E314),AND(MONTH(TODAY())=MONTH(E314),DAY(TODAY())&lt;DAY(E314))),1,0))</f>
        <v>29</v>
      </c>
    </row>
    <row r="315" spans="1:6" x14ac:dyDescent="0.3">
      <c r="A315" s="34" t="s">
        <v>556</v>
      </c>
      <c r="B315" s="34">
        <v>1724241813</v>
      </c>
      <c r="C315" s="34" t="s">
        <v>260</v>
      </c>
      <c r="D315" s="35" t="s">
        <v>12</v>
      </c>
      <c r="E315" s="36">
        <v>34078</v>
      </c>
      <c r="F315" s="37">
        <f ca="1">IF(T_CÓDIGO[[#This Row],[FECHA DE NACIMIENTO]]="","",YEAR(TODAY())-YEAR(T_CÓDIGO[[#This Row],[FECHA DE NACIMIENTO]])-IF(OR(MONTH(TODAY())&lt;MONTH(E315),AND(MONTH(TODAY())=MONTH(E315),DAY(TODAY())&lt;DAY(E315))),1,0))</f>
        <v>31</v>
      </c>
    </row>
    <row r="316" spans="1:6" x14ac:dyDescent="0.3">
      <c r="A316" s="34" t="s">
        <v>116</v>
      </c>
      <c r="B316" s="34">
        <v>1724923725</v>
      </c>
      <c r="C316" s="34" t="s">
        <v>260</v>
      </c>
      <c r="D316" s="35" t="s">
        <v>12</v>
      </c>
      <c r="E316" s="36">
        <v>37030</v>
      </c>
      <c r="F316" s="37">
        <f ca="1">IF(T_CÓDIGO[[#This Row],[FECHA DE NACIMIENTO]]="","",YEAR(TODAY())-YEAR(T_CÓDIGO[[#This Row],[FECHA DE NACIMIENTO]])-IF(OR(MONTH(TODAY())&lt;MONTH(E316),AND(MONTH(TODAY())=MONTH(E316),DAY(TODAY())&lt;DAY(E316))),1,0))</f>
        <v>23</v>
      </c>
    </row>
    <row r="317" spans="1:6" x14ac:dyDescent="0.3">
      <c r="A317" s="34" t="s">
        <v>851</v>
      </c>
      <c r="B317" s="34" t="s">
        <v>852</v>
      </c>
      <c r="C317" s="34" t="s">
        <v>260</v>
      </c>
      <c r="D317" s="35" t="s">
        <v>12</v>
      </c>
      <c r="E317" s="36">
        <v>37700</v>
      </c>
      <c r="F317" s="37">
        <f ca="1">IF(T_CÓDIGO[[#This Row],[FECHA DE NACIMIENTO]]="","",YEAR(TODAY())-YEAR(T_CÓDIGO[[#This Row],[FECHA DE NACIMIENTO]])-IF(OR(MONTH(TODAY())&lt;MONTH(E317),AND(MONTH(TODAY())=MONTH(E317),DAY(TODAY())&lt;DAY(E317))),1,0))</f>
        <v>21</v>
      </c>
    </row>
    <row r="318" spans="1:6" x14ac:dyDescent="0.3">
      <c r="A318" s="34" t="s">
        <v>557</v>
      </c>
      <c r="B318" s="34">
        <v>2100394812</v>
      </c>
      <c r="C318" s="34" t="s">
        <v>558</v>
      </c>
      <c r="D318" s="35" t="s">
        <v>24</v>
      </c>
      <c r="E318" s="36">
        <v>34294</v>
      </c>
      <c r="F318" s="37">
        <f ca="1">IF(T_CÓDIGO[[#This Row],[FECHA DE NACIMIENTO]]="","",YEAR(TODAY())-YEAR(T_CÓDIGO[[#This Row],[FECHA DE NACIMIENTO]])-IF(OR(MONTH(TODAY())&lt;MONTH(E318),AND(MONTH(TODAY())=MONTH(E318),DAY(TODAY())&lt;DAY(E318))),1,0))</f>
        <v>31</v>
      </c>
    </row>
    <row r="319" spans="1:6" x14ac:dyDescent="0.3">
      <c r="A319" s="34" t="s">
        <v>65</v>
      </c>
      <c r="B319" s="34">
        <v>2300801780</v>
      </c>
      <c r="C319" s="34" t="s">
        <v>260</v>
      </c>
      <c r="D319" s="35" t="s">
        <v>12</v>
      </c>
      <c r="E319" s="36">
        <v>37450</v>
      </c>
      <c r="F319" s="37">
        <f ca="1">IF(T_CÓDIGO[[#This Row],[FECHA DE NACIMIENTO]]="","",YEAR(TODAY())-YEAR(T_CÓDIGO[[#This Row],[FECHA DE NACIMIENTO]])-IF(OR(MONTH(TODAY())&lt;MONTH(E319),AND(MONTH(TODAY())=MONTH(E319),DAY(TODAY())&lt;DAY(E319))),1,0))</f>
        <v>22</v>
      </c>
    </row>
    <row r="320" spans="1:6" x14ac:dyDescent="0.3">
      <c r="A320" s="34" t="s">
        <v>853</v>
      </c>
      <c r="B320" s="34" t="s">
        <v>854</v>
      </c>
      <c r="C320" s="34" t="s">
        <v>260</v>
      </c>
      <c r="D320" s="35" t="s">
        <v>12</v>
      </c>
      <c r="E320" s="36">
        <v>36260</v>
      </c>
      <c r="F320" s="37">
        <f ca="1">IF(T_CÓDIGO[[#This Row],[FECHA DE NACIMIENTO]]="","",YEAR(TODAY())-YEAR(T_CÓDIGO[[#This Row],[FECHA DE NACIMIENTO]])-IF(OR(MONTH(TODAY())&lt;MONTH(E320),AND(MONTH(TODAY())=MONTH(E320),DAY(TODAY())&lt;DAY(E320))),1,0))</f>
        <v>25</v>
      </c>
    </row>
    <row r="321" spans="1:6" x14ac:dyDescent="0.3">
      <c r="A321" s="34" t="s">
        <v>855</v>
      </c>
      <c r="B321" s="34" t="s">
        <v>856</v>
      </c>
      <c r="C321" s="34" t="s">
        <v>260</v>
      </c>
      <c r="D321" s="35" t="s">
        <v>12</v>
      </c>
      <c r="E321" s="36">
        <v>37195</v>
      </c>
      <c r="F321" s="37">
        <f ca="1">IF(T_CÓDIGO[[#This Row],[FECHA DE NACIMIENTO]]="","",YEAR(TODAY())-YEAR(T_CÓDIGO[[#This Row],[FECHA DE NACIMIENTO]])-IF(OR(MONTH(TODAY())&lt;MONTH(E321),AND(MONTH(TODAY())=MONTH(E321),DAY(TODAY())&lt;DAY(E321))),1,0))</f>
        <v>23</v>
      </c>
    </row>
    <row r="322" spans="1:6" x14ac:dyDescent="0.3">
      <c r="A322" s="34" t="s">
        <v>857</v>
      </c>
      <c r="B322" s="34" t="s">
        <v>858</v>
      </c>
      <c r="C322" s="34" t="s">
        <v>260</v>
      </c>
      <c r="D322" s="35" t="s">
        <v>12</v>
      </c>
      <c r="E322" s="36">
        <v>38370</v>
      </c>
      <c r="F322" s="37">
        <f ca="1">IF(T_CÓDIGO[[#This Row],[FECHA DE NACIMIENTO]]="","",YEAR(TODAY())-YEAR(T_CÓDIGO[[#This Row],[FECHA DE NACIMIENTO]])-IF(OR(MONTH(TODAY())&lt;MONTH(E322),AND(MONTH(TODAY())=MONTH(E322),DAY(TODAY())&lt;DAY(E322))),1,0))</f>
        <v>19</v>
      </c>
    </row>
    <row r="323" spans="1:6" x14ac:dyDescent="0.3">
      <c r="A323" s="34" t="s">
        <v>154</v>
      </c>
      <c r="B323" s="34" t="s">
        <v>559</v>
      </c>
      <c r="C323" s="34" t="s">
        <v>271</v>
      </c>
      <c r="D323" s="35" t="s">
        <v>12</v>
      </c>
      <c r="E323" s="36">
        <v>29108</v>
      </c>
      <c r="F323" s="37">
        <f ca="1">IF(T_CÓDIGO[[#This Row],[FECHA DE NACIMIENTO]]="","",YEAR(TODAY())-YEAR(T_CÓDIGO[[#This Row],[FECHA DE NACIMIENTO]])-IF(OR(MONTH(TODAY())&lt;MONTH(E323),AND(MONTH(TODAY())=MONTH(E323),DAY(TODAY())&lt;DAY(E323))),1,0))</f>
        <v>45</v>
      </c>
    </row>
    <row r="324" spans="1:6" x14ac:dyDescent="0.3">
      <c r="A324" s="34" t="s">
        <v>133</v>
      </c>
      <c r="B324" s="34">
        <v>1104709538</v>
      </c>
      <c r="C324" s="34" t="s">
        <v>292</v>
      </c>
      <c r="D324" s="35" t="s">
        <v>12</v>
      </c>
      <c r="E324" s="36">
        <v>32877</v>
      </c>
      <c r="F324" s="37">
        <f ca="1">IF(T_CÓDIGO[[#This Row],[FECHA DE NACIMIENTO]]="","",YEAR(TODAY())-YEAR(T_CÓDIGO[[#This Row],[FECHA DE NACIMIENTO]])-IF(OR(MONTH(TODAY())&lt;MONTH(E324),AND(MONTH(TODAY())=MONTH(E324),DAY(TODAY())&lt;DAY(E324))),1,0))</f>
        <v>34</v>
      </c>
    </row>
    <row r="325" spans="1:6" x14ac:dyDescent="0.3">
      <c r="A325" s="34" t="s">
        <v>859</v>
      </c>
      <c r="B325" s="34" t="s">
        <v>860</v>
      </c>
      <c r="C325" s="34" t="s">
        <v>260</v>
      </c>
      <c r="D325" s="35" t="s">
        <v>12</v>
      </c>
      <c r="E325" s="36">
        <v>37958</v>
      </c>
      <c r="F325" s="37">
        <f ca="1">IF(T_CÓDIGO[[#This Row],[FECHA DE NACIMIENTO]]="","",YEAR(TODAY())-YEAR(T_CÓDIGO[[#This Row],[FECHA DE NACIMIENTO]])-IF(OR(MONTH(TODAY())&lt;MONTH(E325),AND(MONTH(TODAY())=MONTH(E325),DAY(TODAY())&lt;DAY(E325))),1,0))</f>
        <v>21</v>
      </c>
    </row>
    <row r="326" spans="1:6" x14ac:dyDescent="0.3">
      <c r="A326" s="34" t="s">
        <v>560</v>
      </c>
      <c r="B326" s="34" t="s">
        <v>561</v>
      </c>
      <c r="C326" s="34" t="s">
        <v>372</v>
      </c>
      <c r="D326" s="35" t="s">
        <v>12</v>
      </c>
      <c r="E326" s="36">
        <v>34932</v>
      </c>
      <c r="F326" s="37">
        <f ca="1">IF(T_CÓDIGO[[#This Row],[FECHA DE NACIMIENTO]]="","",YEAR(TODAY())-YEAR(T_CÓDIGO[[#This Row],[FECHA DE NACIMIENTO]])-IF(OR(MONTH(TODAY())&lt;MONTH(E326),AND(MONTH(TODAY())=MONTH(E326),DAY(TODAY())&lt;DAY(E326))),1,0))</f>
        <v>29</v>
      </c>
    </row>
    <row r="327" spans="1:6" x14ac:dyDescent="0.3">
      <c r="A327" s="34" t="s">
        <v>861</v>
      </c>
      <c r="B327" s="34" t="s">
        <v>862</v>
      </c>
      <c r="C327" s="34" t="s">
        <v>863</v>
      </c>
      <c r="D327" s="35" t="s">
        <v>12</v>
      </c>
      <c r="E327" s="36" t="s">
        <v>864</v>
      </c>
      <c r="F327" s="37">
        <f ca="1">IF(T_CÓDIGO[[#This Row],[FECHA DE NACIMIENTO]]="","",YEAR(TODAY())-YEAR(T_CÓDIGO[[#This Row],[FECHA DE NACIMIENTO]])-IF(OR(MONTH(TODAY())&lt;MONTH(E327),AND(MONTH(TODAY())=MONTH(E327),DAY(TODAY())&lt;DAY(E327))),1,0))</f>
        <v>24</v>
      </c>
    </row>
    <row r="328" spans="1:6" x14ac:dyDescent="0.3">
      <c r="A328" s="34" t="s">
        <v>151</v>
      </c>
      <c r="B328" s="34" t="s">
        <v>865</v>
      </c>
      <c r="C328" s="34" t="s">
        <v>279</v>
      </c>
      <c r="D328" s="35" t="s">
        <v>12</v>
      </c>
      <c r="E328" s="36">
        <v>34558</v>
      </c>
      <c r="F328" s="37">
        <f ca="1">IF(T_CÓDIGO[[#This Row],[FECHA DE NACIMIENTO]]="","",YEAR(TODAY())-YEAR(T_CÓDIGO[[#This Row],[FECHA DE NACIMIENTO]])-IF(OR(MONTH(TODAY())&lt;MONTH(E328),AND(MONTH(TODAY())=MONTH(E328),DAY(TODAY())&lt;DAY(E328))),1,0))</f>
        <v>30</v>
      </c>
    </row>
    <row r="329" spans="1:6" x14ac:dyDescent="0.3">
      <c r="A329" s="34" t="s">
        <v>562</v>
      </c>
      <c r="B329" s="34">
        <v>1728240498</v>
      </c>
      <c r="C329" s="34" t="s">
        <v>260</v>
      </c>
      <c r="D329" s="35" t="s">
        <v>12</v>
      </c>
      <c r="E329" s="36">
        <v>34556</v>
      </c>
      <c r="F329" s="37">
        <f ca="1">IF(T_CÓDIGO[[#This Row],[FECHA DE NACIMIENTO]]="","",YEAR(TODAY())-YEAR(T_CÓDIGO[[#This Row],[FECHA DE NACIMIENTO]])-IF(OR(MONTH(TODAY())&lt;MONTH(E329),AND(MONTH(TODAY())=MONTH(E329),DAY(TODAY())&lt;DAY(E329))),1,0))</f>
        <v>30</v>
      </c>
    </row>
    <row r="330" spans="1:6" x14ac:dyDescent="0.3">
      <c r="A330" s="34" t="s">
        <v>564</v>
      </c>
      <c r="B330" s="34">
        <v>1723816789</v>
      </c>
      <c r="C330" s="34" t="s">
        <v>444</v>
      </c>
      <c r="D330" s="35" t="s">
        <v>12</v>
      </c>
      <c r="E330" s="36">
        <v>30406</v>
      </c>
      <c r="F330" s="37">
        <f ca="1">IF(T_CÓDIGO[[#This Row],[FECHA DE NACIMIENTO]]="","",YEAR(TODAY())-YEAR(T_CÓDIGO[[#This Row],[FECHA DE NACIMIENTO]])-IF(OR(MONTH(TODAY())&lt;MONTH(E330),AND(MONTH(TODAY())=MONTH(E330),DAY(TODAY())&lt;DAY(E330))),1,0))</f>
        <v>41</v>
      </c>
    </row>
    <row r="331" spans="1:6" x14ac:dyDescent="0.3">
      <c r="A331" s="34" t="s">
        <v>866</v>
      </c>
      <c r="B331" s="34" t="s">
        <v>867</v>
      </c>
      <c r="C331" s="34" t="s">
        <v>260</v>
      </c>
      <c r="D331" s="35" t="s">
        <v>12</v>
      </c>
      <c r="E331" s="36">
        <v>36163</v>
      </c>
      <c r="F331" s="37">
        <f ca="1">IF(T_CÓDIGO[[#This Row],[FECHA DE NACIMIENTO]]="","",YEAR(TODAY())-YEAR(T_CÓDIGO[[#This Row],[FECHA DE NACIMIENTO]])-IF(OR(MONTH(TODAY())&lt;MONTH(E331),AND(MONTH(TODAY())=MONTH(E331),DAY(TODAY())&lt;DAY(E331))),1,0))</f>
        <v>25</v>
      </c>
    </row>
    <row r="332" spans="1:6" x14ac:dyDescent="0.3">
      <c r="A332" s="34" t="s">
        <v>565</v>
      </c>
      <c r="B332" s="34" t="s">
        <v>566</v>
      </c>
      <c r="C332" s="34" t="s">
        <v>262</v>
      </c>
      <c r="D332" s="35" t="s">
        <v>12</v>
      </c>
      <c r="E332" s="36" t="s">
        <v>567</v>
      </c>
      <c r="F332" s="37">
        <f ca="1">IF(T_CÓDIGO[[#This Row],[FECHA DE NACIMIENTO]]="","",YEAR(TODAY())-YEAR(T_CÓDIGO[[#This Row],[FECHA DE NACIMIENTO]])-IF(OR(MONTH(TODAY())&lt;MONTH(E332),AND(MONTH(TODAY())=MONTH(E332),DAY(TODAY())&lt;DAY(E332))),1,0))</f>
        <v>54</v>
      </c>
    </row>
    <row r="333" spans="1:6" x14ac:dyDescent="0.3">
      <c r="A333" s="34" t="s">
        <v>568</v>
      </c>
      <c r="B333" s="34" t="s">
        <v>569</v>
      </c>
      <c r="C333" s="34" t="s">
        <v>262</v>
      </c>
      <c r="D333" s="35" t="s">
        <v>12</v>
      </c>
      <c r="E333" s="36">
        <v>26452</v>
      </c>
      <c r="F333" s="37">
        <f ca="1">IF(T_CÓDIGO[[#This Row],[FECHA DE NACIMIENTO]]="","",YEAR(TODAY())-YEAR(T_CÓDIGO[[#This Row],[FECHA DE NACIMIENTO]])-IF(OR(MONTH(TODAY())&lt;MONTH(E333),AND(MONTH(TODAY())=MONTH(E333),DAY(TODAY())&lt;DAY(E333))),1,0))</f>
        <v>52</v>
      </c>
    </row>
    <row r="334" spans="1:6" x14ac:dyDescent="0.3">
      <c r="A334" s="34" t="s">
        <v>570</v>
      </c>
      <c r="B334" s="34" t="s">
        <v>571</v>
      </c>
      <c r="C334" s="34" t="s">
        <v>262</v>
      </c>
      <c r="D334" s="35" t="s">
        <v>12</v>
      </c>
      <c r="E334" s="36">
        <v>25789</v>
      </c>
      <c r="F334" s="37">
        <f ca="1">IF(T_CÓDIGO[[#This Row],[FECHA DE NACIMIENTO]]="","",YEAR(TODAY())-YEAR(T_CÓDIGO[[#This Row],[FECHA DE NACIMIENTO]])-IF(OR(MONTH(TODAY())&lt;MONTH(E334),AND(MONTH(TODAY())=MONTH(E334),DAY(TODAY())&lt;DAY(E334))),1,0))</f>
        <v>54</v>
      </c>
    </row>
    <row r="335" spans="1:6" x14ac:dyDescent="0.3">
      <c r="A335" s="34" t="s">
        <v>128</v>
      </c>
      <c r="B335" s="34">
        <v>1752315372</v>
      </c>
      <c r="C335" s="34" t="s">
        <v>260</v>
      </c>
      <c r="D335" s="35" t="s">
        <v>12</v>
      </c>
      <c r="E335" s="36">
        <v>36902</v>
      </c>
      <c r="F335" s="37">
        <f ca="1">IF(T_CÓDIGO[[#This Row],[FECHA DE NACIMIENTO]]="","",YEAR(TODAY())-YEAR(T_CÓDIGO[[#This Row],[FECHA DE NACIMIENTO]])-IF(OR(MONTH(TODAY())&lt;MONTH(E335),AND(MONTH(TODAY())=MONTH(E335),DAY(TODAY())&lt;DAY(E335))),1,0))</f>
        <v>23</v>
      </c>
    </row>
    <row r="336" spans="1:6" x14ac:dyDescent="0.3">
      <c r="A336" s="34" t="s">
        <v>173</v>
      </c>
      <c r="B336" s="34">
        <v>1724827595</v>
      </c>
      <c r="C336" s="34" t="s">
        <v>260</v>
      </c>
      <c r="D336" s="35" t="s">
        <v>12</v>
      </c>
      <c r="E336" s="36">
        <v>35599</v>
      </c>
      <c r="F336" s="37">
        <f ca="1">IF(T_CÓDIGO[[#This Row],[FECHA DE NACIMIENTO]]="","",YEAR(TODAY())-YEAR(T_CÓDIGO[[#This Row],[FECHA DE NACIMIENTO]])-IF(OR(MONTH(TODAY())&lt;MONTH(E336),AND(MONTH(TODAY())=MONTH(E336),DAY(TODAY())&lt;DAY(E336))),1,0))</f>
        <v>27</v>
      </c>
    </row>
    <row r="337" spans="1:6" x14ac:dyDescent="0.3">
      <c r="A337" s="34" t="s">
        <v>120</v>
      </c>
      <c r="B337" s="34" t="s">
        <v>572</v>
      </c>
      <c r="C337" s="34" t="s">
        <v>262</v>
      </c>
      <c r="D337" s="35" t="s">
        <v>12</v>
      </c>
      <c r="E337" s="36">
        <v>34018</v>
      </c>
      <c r="F337" s="37">
        <f ca="1">IF(T_CÓDIGO[[#This Row],[FECHA DE NACIMIENTO]]="","",YEAR(TODAY())-YEAR(T_CÓDIGO[[#This Row],[FECHA DE NACIMIENTO]])-IF(OR(MONTH(TODAY())&lt;MONTH(E337),AND(MONTH(TODAY())=MONTH(E337),DAY(TODAY())&lt;DAY(E337))),1,0))</f>
        <v>31</v>
      </c>
    </row>
    <row r="338" spans="1:6" x14ac:dyDescent="0.3">
      <c r="A338" s="34" t="s">
        <v>53</v>
      </c>
      <c r="B338" s="34" t="s">
        <v>573</v>
      </c>
      <c r="C338" s="34" t="s">
        <v>262</v>
      </c>
      <c r="D338" s="35" t="s">
        <v>12</v>
      </c>
      <c r="E338" s="36">
        <v>29169</v>
      </c>
      <c r="F338" s="37">
        <f ca="1">IF(T_CÓDIGO[[#This Row],[FECHA DE NACIMIENTO]]="","",YEAR(TODAY())-YEAR(T_CÓDIGO[[#This Row],[FECHA DE NACIMIENTO]])-IF(OR(MONTH(TODAY())&lt;MONTH(E338),AND(MONTH(TODAY())=MONTH(E338),DAY(TODAY())&lt;DAY(E338))),1,0))</f>
        <v>45</v>
      </c>
    </row>
    <row r="339" spans="1:6" x14ac:dyDescent="0.3">
      <c r="A339" s="34" t="s">
        <v>74</v>
      </c>
      <c r="B339" s="34" t="s">
        <v>574</v>
      </c>
      <c r="C339" s="34" t="s">
        <v>262</v>
      </c>
      <c r="D339" s="35" t="s">
        <v>12</v>
      </c>
      <c r="E339" s="36">
        <v>32236</v>
      </c>
      <c r="F339" s="37">
        <f ca="1">IF(T_CÓDIGO[[#This Row],[FECHA DE NACIMIENTO]]="","",YEAR(TODAY())-YEAR(T_CÓDIGO[[#This Row],[FECHA DE NACIMIENTO]])-IF(OR(MONTH(TODAY())&lt;MONTH(E339),AND(MONTH(TODAY())=MONTH(E339),DAY(TODAY())&lt;DAY(E339))),1,0))</f>
        <v>36</v>
      </c>
    </row>
    <row r="340" spans="1:6" x14ac:dyDescent="0.3">
      <c r="A340" s="34" t="s">
        <v>868</v>
      </c>
      <c r="B340" s="34" t="s">
        <v>869</v>
      </c>
      <c r="C340" s="34" t="s">
        <v>278</v>
      </c>
      <c r="D340" s="35" t="s">
        <v>24</v>
      </c>
      <c r="E340" s="36" t="s">
        <v>870</v>
      </c>
      <c r="F340" s="37">
        <f ca="1">IF(T_CÓDIGO[[#This Row],[FECHA DE NACIMIENTO]]="","",YEAR(TODAY())-YEAR(T_CÓDIGO[[#This Row],[FECHA DE NACIMIENTO]])-IF(OR(MONTH(TODAY())&lt;MONTH(E340),AND(MONTH(TODAY())=MONTH(E340),DAY(TODAY())&lt;DAY(E340))),1,0))</f>
        <v>29</v>
      </c>
    </row>
    <row r="341" spans="1:6" x14ac:dyDescent="0.3">
      <c r="A341" s="34" t="s">
        <v>575</v>
      </c>
      <c r="B341" s="34">
        <v>1724680838</v>
      </c>
      <c r="C341" s="34" t="s">
        <v>271</v>
      </c>
      <c r="D341" s="35" t="s">
        <v>12</v>
      </c>
      <c r="E341" s="36">
        <v>33095</v>
      </c>
      <c r="F341" s="37">
        <f ca="1">IF(T_CÓDIGO[[#This Row],[FECHA DE NACIMIENTO]]="","",YEAR(TODAY())-YEAR(T_CÓDIGO[[#This Row],[FECHA DE NACIMIENTO]])-IF(OR(MONTH(TODAY())&lt;MONTH(E341),AND(MONTH(TODAY())=MONTH(E341),DAY(TODAY())&lt;DAY(E341))),1,0))</f>
        <v>34</v>
      </c>
    </row>
    <row r="342" spans="1:6" x14ac:dyDescent="0.3">
      <c r="A342" s="34" t="s">
        <v>576</v>
      </c>
      <c r="B342" s="34" t="s">
        <v>577</v>
      </c>
      <c r="C342" s="34" t="s">
        <v>271</v>
      </c>
      <c r="D342" s="35" t="s">
        <v>12</v>
      </c>
      <c r="E342" s="36">
        <v>27914</v>
      </c>
      <c r="F342" s="37">
        <f ca="1">IF(T_CÓDIGO[[#This Row],[FECHA DE NACIMIENTO]]="","",YEAR(TODAY())-YEAR(T_CÓDIGO[[#This Row],[FECHA DE NACIMIENTO]])-IF(OR(MONTH(TODAY())&lt;MONTH(E342),AND(MONTH(TODAY())=MONTH(E342),DAY(TODAY())&lt;DAY(E342))),1,0))</f>
        <v>48</v>
      </c>
    </row>
    <row r="343" spans="1:6" x14ac:dyDescent="0.3">
      <c r="A343" s="34" t="s">
        <v>112</v>
      </c>
      <c r="B343" s="34">
        <v>1103184931</v>
      </c>
      <c r="C343" s="34" t="s">
        <v>271</v>
      </c>
      <c r="D343" s="35" t="s">
        <v>12</v>
      </c>
      <c r="E343" s="36">
        <v>27710</v>
      </c>
      <c r="F343" s="37">
        <f ca="1">IF(T_CÓDIGO[[#This Row],[FECHA DE NACIMIENTO]]="","",YEAR(TODAY())-YEAR(T_CÓDIGO[[#This Row],[FECHA DE NACIMIENTO]])-IF(OR(MONTH(TODAY())&lt;MONTH(E343),AND(MONTH(TODAY())=MONTH(E343),DAY(TODAY())&lt;DAY(E343))),1,0))</f>
        <v>49</v>
      </c>
    </row>
    <row r="344" spans="1:6" x14ac:dyDescent="0.3">
      <c r="A344" s="34" t="s">
        <v>578</v>
      </c>
      <c r="B344" s="34">
        <v>1150865960</v>
      </c>
      <c r="C344" s="34" t="s">
        <v>260</v>
      </c>
      <c r="D344" s="35" t="s">
        <v>12</v>
      </c>
      <c r="E344" s="36">
        <v>35111</v>
      </c>
      <c r="F344" s="37">
        <f ca="1">IF(T_CÓDIGO[[#This Row],[FECHA DE NACIMIENTO]]="","",YEAR(TODAY())-YEAR(T_CÓDIGO[[#This Row],[FECHA DE NACIMIENTO]])-IF(OR(MONTH(TODAY())&lt;MONTH(E344),AND(MONTH(TODAY())=MONTH(E344),DAY(TODAY())&lt;DAY(E344))),1,0))</f>
        <v>28</v>
      </c>
    </row>
    <row r="345" spans="1:6" x14ac:dyDescent="0.3">
      <c r="A345" s="34" t="s">
        <v>579</v>
      </c>
      <c r="B345" s="34" t="s">
        <v>580</v>
      </c>
      <c r="C345" s="34" t="s">
        <v>268</v>
      </c>
      <c r="D345" s="35" t="s">
        <v>12</v>
      </c>
      <c r="E345" s="36">
        <v>30975</v>
      </c>
      <c r="F345" s="37">
        <f ca="1">IF(T_CÓDIGO[[#This Row],[FECHA DE NACIMIENTO]]="","",YEAR(TODAY())-YEAR(T_CÓDIGO[[#This Row],[FECHA DE NACIMIENTO]])-IF(OR(MONTH(TODAY())&lt;MONTH(E345),AND(MONTH(TODAY())=MONTH(E345),DAY(TODAY())&lt;DAY(E345))),1,0))</f>
        <v>40</v>
      </c>
    </row>
    <row r="346" spans="1:6" x14ac:dyDescent="0.3">
      <c r="A346" s="34" t="s">
        <v>581</v>
      </c>
      <c r="B346" s="34">
        <v>1400963334</v>
      </c>
      <c r="C346" s="34" t="s">
        <v>429</v>
      </c>
      <c r="D346" s="35" t="s">
        <v>12</v>
      </c>
      <c r="E346" s="36">
        <v>34274</v>
      </c>
      <c r="F346" s="37">
        <f ca="1">IF(T_CÓDIGO[[#This Row],[FECHA DE NACIMIENTO]]="","",YEAR(TODAY())-YEAR(T_CÓDIGO[[#This Row],[FECHA DE NACIMIENTO]])-IF(OR(MONTH(TODAY())&lt;MONTH(E346),AND(MONTH(TODAY())=MONTH(E346),DAY(TODAY())&lt;DAY(E346))),1,0))</f>
        <v>31</v>
      </c>
    </row>
    <row r="347" spans="1:6" x14ac:dyDescent="0.3">
      <c r="A347" s="34" t="s">
        <v>871</v>
      </c>
      <c r="B347" s="34">
        <v>1105771990</v>
      </c>
      <c r="C347" s="34" t="s">
        <v>277</v>
      </c>
      <c r="D347" s="35" t="s">
        <v>12</v>
      </c>
      <c r="E347" s="36">
        <v>34700</v>
      </c>
      <c r="F347" s="37">
        <f ca="1">IF(T_CÓDIGO[[#This Row],[FECHA DE NACIMIENTO]]="","",YEAR(TODAY())-YEAR(T_CÓDIGO[[#This Row],[FECHA DE NACIMIENTO]])-IF(OR(MONTH(TODAY())&lt;MONTH(E347),AND(MONTH(TODAY())=MONTH(E347),DAY(TODAY())&lt;DAY(E347))),1,0))</f>
        <v>29</v>
      </c>
    </row>
    <row r="348" spans="1:6" x14ac:dyDescent="0.3">
      <c r="A348" s="34" t="s">
        <v>582</v>
      </c>
      <c r="B348" s="34">
        <v>1004170757</v>
      </c>
      <c r="C348" s="34" t="s">
        <v>260</v>
      </c>
      <c r="D348" s="35" t="s">
        <v>12</v>
      </c>
      <c r="E348" s="36">
        <v>33162</v>
      </c>
      <c r="F348" s="37">
        <f ca="1">IF(T_CÓDIGO[[#This Row],[FECHA DE NACIMIENTO]]="","",YEAR(TODAY())-YEAR(T_CÓDIGO[[#This Row],[FECHA DE NACIMIENTO]])-IF(OR(MONTH(TODAY())&lt;MONTH(E348),AND(MONTH(TODAY())=MONTH(E348),DAY(TODAY())&lt;DAY(E348))),1,0))</f>
        <v>34</v>
      </c>
    </row>
    <row r="349" spans="1:6" x14ac:dyDescent="0.3">
      <c r="A349" s="34" t="s">
        <v>583</v>
      </c>
      <c r="B349" s="34">
        <v>2300603699</v>
      </c>
      <c r="C349" s="34" t="s">
        <v>260</v>
      </c>
      <c r="D349" s="35" t="s">
        <v>12</v>
      </c>
      <c r="E349" s="36">
        <v>36363</v>
      </c>
      <c r="F349" s="37">
        <f ca="1">IF(T_CÓDIGO[[#This Row],[FECHA DE NACIMIENTO]]="","",YEAR(TODAY())-YEAR(T_CÓDIGO[[#This Row],[FECHA DE NACIMIENTO]])-IF(OR(MONTH(TODAY())&lt;MONTH(E349),AND(MONTH(TODAY())=MONTH(E349),DAY(TODAY())&lt;DAY(E349))),1,0))</f>
        <v>25</v>
      </c>
    </row>
    <row r="350" spans="1:6" x14ac:dyDescent="0.3">
      <c r="A350" s="34" t="s">
        <v>84</v>
      </c>
      <c r="B350" s="34" t="s">
        <v>584</v>
      </c>
      <c r="C350" s="34" t="s">
        <v>271</v>
      </c>
      <c r="D350" s="35" t="s">
        <v>12</v>
      </c>
      <c r="E350" s="36">
        <v>27172</v>
      </c>
      <c r="F350" s="37">
        <f ca="1">IF(T_CÓDIGO[[#This Row],[FECHA DE NACIMIENTO]]="","",YEAR(TODAY())-YEAR(T_CÓDIGO[[#This Row],[FECHA DE NACIMIENTO]])-IF(OR(MONTH(TODAY())&lt;MONTH(E350),AND(MONTH(TODAY())=MONTH(E350),DAY(TODAY())&lt;DAY(E350))),1,0))</f>
        <v>50</v>
      </c>
    </row>
    <row r="351" spans="1:6" x14ac:dyDescent="0.3">
      <c r="A351" s="34" t="s">
        <v>585</v>
      </c>
      <c r="B351" s="34" t="s">
        <v>586</v>
      </c>
      <c r="C351" s="34" t="s">
        <v>260</v>
      </c>
      <c r="D351" s="35" t="s">
        <v>12</v>
      </c>
      <c r="E351" s="36" t="s">
        <v>587</v>
      </c>
      <c r="F351" s="37">
        <f ca="1">IF(T_CÓDIGO[[#This Row],[FECHA DE NACIMIENTO]]="","",YEAR(TODAY())-YEAR(T_CÓDIGO[[#This Row],[FECHA DE NACIMIENTO]])-IF(OR(MONTH(TODAY())&lt;MONTH(E351),AND(MONTH(TODAY())=MONTH(E351),DAY(TODAY())&lt;DAY(E351))),1,0))</f>
        <v>21</v>
      </c>
    </row>
    <row r="352" spans="1:6" x14ac:dyDescent="0.3">
      <c r="A352" s="34" t="s">
        <v>117</v>
      </c>
      <c r="B352" s="34">
        <v>1150288593</v>
      </c>
      <c r="C352" s="34" t="s">
        <v>260</v>
      </c>
      <c r="D352" s="35" t="s">
        <v>12</v>
      </c>
      <c r="E352" s="36">
        <v>36168</v>
      </c>
      <c r="F352" s="37">
        <f ca="1">IF(T_CÓDIGO[[#This Row],[FECHA DE NACIMIENTO]]="","",YEAR(TODAY())-YEAR(T_CÓDIGO[[#This Row],[FECHA DE NACIMIENTO]])-IF(OR(MONTH(TODAY())&lt;MONTH(E352),AND(MONTH(TODAY())=MONTH(E352),DAY(TODAY())&lt;DAY(E352))),1,0))</f>
        <v>25</v>
      </c>
    </row>
    <row r="353" spans="1:6" x14ac:dyDescent="0.3">
      <c r="A353" s="34" t="s">
        <v>588</v>
      </c>
      <c r="B353" s="34">
        <v>1150243952</v>
      </c>
      <c r="C353" s="34" t="s">
        <v>260</v>
      </c>
      <c r="D353" s="35" t="s">
        <v>12</v>
      </c>
      <c r="E353" s="36">
        <v>36169</v>
      </c>
      <c r="F353" s="37">
        <f ca="1">IF(T_CÓDIGO[[#This Row],[FECHA DE NACIMIENTO]]="","",YEAR(TODAY())-YEAR(T_CÓDIGO[[#This Row],[FECHA DE NACIMIENTO]])-IF(OR(MONTH(TODAY())&lt;MONTH(E353),AND(MONTH(TODAY())=MONTH(E353),DAY(TODAY())&lt;DAY(E353))),1,0))</f>
        <v>25</v>
      </c>
    </row>
    <row r="354" spans="1:6" x14ac:dyDescent="0.3">
      <c r="A354" s="34" t="s">
        <v>589</v>
      </c>
      <c r="B354" s="34" t="s">
        <v>590</v>
      </c>
      <c r="C354" s="34" t="s">
        <v>262</v>
      </c>
      <c r="D354" s="35" t="s">
        <v>12</v>
      </c>
      <c r="E354" s="36">
        <v>30828</v>
      </c>
      <c r="F354" s="37">
        <f ca="1">IF(T_CÓDIGO[[#This Row],[FECHA DE NACIMIENTO]]="","",YEAR(TODAY())-YEAR(T_CÓDIGO[[#This Row],[FECHA DE NACIMIENTO]])-IF(OR(MONTH(TODAY())&lt;MONTH(E354),AND(MONTH(TODAY())=MONTH(E354),DAY(TODAY())&lt;DAY(E354))),1,0))</f>
        <v>40</v>
      </c>
    </row>
    <row r="355" spans="1:6" x14ac:dyDescent="0.3">
      <c r="A355" s="34" t="s">
        <v>106</v>
      </c>
      <c r="B355" s="34">
        <v>1726203159</v>
      </c>
      <c r="C355" s="34" t="s">
        <v>260</v>
      </c>
      <c r="D355" s="35" t="s">
        <v>12</v>
      </c>
      <c r="E355" s="36">
        <v>35333</v>
      </c>
      <c r="F355" s="37">
        <f ca="1">IF(T_CÓDIGO[[#This Row],[FECHA DE NACIMIENTO]]="","",YEAR(TODAY())-YEAR(T_CÓDIGO[[#This Row],[FECHA DE NACIMIENTO]])-IF(OR(MONTH(TODAY())&lt;MONTH(E355),AND(MONTH(TODAY())=MONTH(E355),DAY(TODAY())&lt;DAY(E355))),1,0))</f>
        <v>28</v>
      </c>
    </row>
    <row r="356" spans="1:6" x14ac:dyDescent="0.3">
      <c r="A356" s="34" t="s">
        <v>591</v>
      </c>
      <c r="B356" s="34">
        <v>1003645364</v>
      </c>
      <c r="C356" s="34" t="s">
        <v>260</v>
      </c>
      <c r="D356" s="35" t="s">
        <v>12</v>
      </c>
      <c r="E356" s="36">
        <v>37655</v>
      </c>
      <c r="F356" s="37">
        <f ca="1">IF(T_CÓDIGO[[#This Row],[FECHA DE NACIMIENTO]]="","",YEAR(TODAY())-YEAR(T_CÓDIGO[[#This Row],[FECHA DE NACIMIENTO]])-IF(OR(MONTH(TODAY())&lt;MONTH(E356),AND(MONTH(TODAY())=MONTH(E356),DAY(TODAY())&lt;DAY(E356))),1,0))</f>
        <v>21</v>
      </c>
    </row>
    <row r="357" spans="1:6" x14ac:dyDescent="0.3">
      <c r="A357" s="34" t="s">
        <v>872</v>
      </c>
      <c r="B357" s="34" t="s">
        <v>873</v>
      </c>
      <c r="C357" s="34" t="s">
        <v>387</v>
      </c>
      <c r="D357" s="35" t="s">
        <v>12</v>
      </c>
      <c r="E357" s="36" t="s">
        <v>874</v>
      </c>
      <c r="F357" s="37">
        <f ca="1">IF(T_CÓDIGO[[#This Row],[FECHA DE NACIMIENTO]]="","",YEAR(TODAY())-YEAR(T_CÓDIGO[[#This Row],[FECHA DE NACIMIENTO]])-IF(OR(MONTH(TODAY())&lt;MONTH(E357),AND(MONTH(TODAY())=MONTH(E357),DAY(TODAY())&lt;DAY(E357))),1,0))</f>
        <v>26</v>
      </c>
    </row>
    <row r="358" spans="1:6" x14ac:dyDescent="0.3">
      <c r="A358" s="34" t="s">
        <v>115</v>
      </c>
      <c r="B358" s="34">
        <v>1150416087</v>
      </c>
      <c r="C358" s="34" t="s">
        <v>260</v>
      </c>
      <c r="D358" s="35" t="s">
        <v>12</v>
      </c>
      <c r="E358" s="36">
        <v>35533</v>
      </c>
      <c r="F358" s="37">
        <f ca="1">IF(T_CÓDIGO[[#This Row],[FECHA DE NACIMIENTO]]="","",YEAR(TODAY())-YEAR(T_CÓDIGO[[#This Row],[FECHA DE NACIMIENTO]])-IF(OR(MONTH(TODAY())&lt;MONTH(E358),AND(MONTH(TODAY())=MONTH(E358),DAY(TODAY())&lt;DAY(E358))),1,0))</f>
        <v>27</v>
      </c>
    </row>
    <row r="359" spans="1:6" x14ac:dyDescent="0.3">
      <c r="A359" s="34" t="s">
        <v>875</v>
      </c>
      <c r="B359" s="34" t="s">
        <v>876</v>
      </c>
      <c r="C359" s="34" t="s">
        <v>260</v>
      </c>
      <c r="D359" s="35" t="s">
        <v>12</v>
      </c>
      <c r="E359" s="36">
        <v>33668</v>
      </c>
      <c r="F359" s="37">
        <f ca="1">IF(T_CÓDIGO[[#This Row],[FECHA DE NACIMIENTO]]="","",YEAR(TODAY())-YEAR(T_CÓDIGO[[#This Row],[FECHA DE NACIMIENTO]])-IF(OR(MONTH(TODAY())&lt;MONTH(E359),AND(MONTH(TODAY())=MONTH(E359),DAY(TODAY())&lt;DAY(E359))),1,0))</f>
        <v>32</v>
      </c>
    </row>
    <row r="360" spans="1:6" x14ac:dyDescent="0.3">
      <c r="A360" s="34" t="s">
        <v>55</v>
      </c>
      <c r="B360" s="34">
        <v>1900827997</v>
      </c>
      <c r="C360" s="34" t="s">
        <v>279</v>
      </c>
      <c r="D360" s="35" t="s">
        <v>12</v>
      </c>
      <c r="E360" s="36">
        <v>35237</v>
      </c>
      <c r="F360" s="37">
        <f ca="1">IF(T_CÓDIGO[[#This Row],[FECHA DE NACIMIENTO]]="","",YEAR(TODAY())-YEAR(T_CÓDIGO[[#This Row],[FECHA DE NACIMIENTO]])-IF(OR(MONTH(TODAY())&lt;MONTH(E360),AND(MONTH(TODAY())=MONTH(E360),DAY(TODAY())&lt;DAY(E360))),1,0))</f>
        <v>28</v>
      </c>
    </row>
    <row r="361" spans="1:6" x14ac:dyDescent="0.3">
      <c r="A361" s="34" t="s">
        <v>111</v>
      </c>
      <c r="B361" s="34">
        <v>1721932984</v>
      </c>
      <c r="C361" s="34" t="s">
        <v>276</v>
      </c>
      <c r="D361" s="35" t="s">
        <v>12</v>
      </c>
      <c r="E361" s="36">
        <v>33625</v>
      </c>
      <c r="F361" s="37">
        <f ca="1">IF(T_CÓDIGO[[#This Row],[FECHA DE NACIMIENTO]]="","",YEAR(TODAY())-YEAR(T_CÓDIGO[[#This Row],[FECHA DE NACIMIENTO]])-IF(OR(MONTH(TODAY())&lt;MONTH(E361),AND(MONTH(TODAY())=MONTH(E361),DAY(TODAY())&lt;DAY(E361))),1,0))</f>
        <v>32</v>
      </c>
    </row>
    <row r="362" spans="1:6" x14ac:dyDescent="0.3">
      <c r="A362" s="34" t="s">
        <v>592</v>
      </c>
      <c r="B362" s="34">
        <v>1723438212</v>
      </c>
      <c r="C362" s="34" t="s">
        <v>260</v>
      </c>
      <c r="D362" s="35" t="s">
        <v>12</v>
      </c>
      <c r="E362" s="36">
        <v>34570</v>
      </c>
      <c r="F362" s="37">
        <f ca="1">IF(T_CÓDIGO[[#This Row],[FECHA DE NACIMIENTO]]="","",YEAR(TODAY())-YEAR(T_CÓDIGO[[#This Row],[FECHA DE NACIMIENTO]])-IF(OR(MONTH(TODAY())&lt;MONTH(E362),AND(MONTH(TODAY())=MONTH(E362),DAY(TODAY())&lt;DAY(E362))),1,0))</f>
        <v>30</v>
      </c>
    </row>
    <row r="363" spans="1:6" x14ac:dyDescent="0.3">
      <c r="A363" s="34" t="s">
        <v>685</v>
      </c>
      <c r="B363" s="34" t="s">
        <v>686</v>
      </c>
      <c r="C363" s="34" t="s">
        <v>276</v>
      </c>
      <c r="D363" s="35" t="s">
        <v>12</v>
      </c>
      <c r="E363" s="36">
        <v>33745</v>
      </c>
      <c r="F363" s="37">
        <f ca="1">IF(T_CÓDIGO[[#This Row],[FECHA DE NACIMIENTO]]="","",YEAR(TODAY())-YEAR(T_CÓDIGO[[#This Row],[FECHA DE NACIMIENTO]])-IF(OR(MONTH(TODAY())&lt;MONTH(E363),AND(MONTH(TODAY())=MONTH(E363),DAY(TODAY())&lt;DAY(E363))),1,0))</f>
        <v>32</v>
      </c>
    </row>
    <row r="364" spans="1:6" x14ac:dyDescent="0.3">
      <c r="A364" s="34" t="s">
        <v>593</v>
      </c>
      <c r="B364" s="34">
        <v>1900507920</v>
      </c>
      <c r="C364" s="34" t="s">
        <v>271</v>
      </c>
      <c r="D364" s="35" t="s">
        <v>12</v>
      </c>
      <c r="E364" s="36">
        <v>31219</v>
      </c>
      <c r="F364" s="37">
        <f ca="1">IF(T_CÓDIGO[[#This Row],[FECHA DE NACIMIENTO]]="","",YEAR(TODAY())-YEAR(T_CÓDIGO[[#This Row],[FECHA DE NACIMIENTO]])-IF(OR(MONTH(TODAY())&lt;MONTH(E364),AND(MONTH(TODAY())=MONTH(E364),DAY(TODAY())&lt;DAY(E364))),1,0))</f>
        <v>39</v>
      </c>
    </row>
    <row r="365" spans="1:6" x14ac:dyDescent="0.3">
      <c r="A365" s="34" t="s">
        <v>594</v>
      </c>
      <c r="B365" s="34">
        <v>302156534</v>
      </c>
      <c r="C365" s="34" t="s">
        <v>595</v>
      </c>
      <c r="D365" s="35" t="s">
        <v>12</v>
      </c>
      <c r="E365" s="36">
        <v>32126</v>
      </c>
      <c r="F365" s="37">
        <f ca="1">IF(T_CÓDIGO[[#This Row],[FECHA DE NACIMIENTO]]="","",YEAR(TODAY())-YEAR(T_CÓDIGO[[#This Row],[FECHA DE NACIMIENTO]])-IF(OR(MONTH(TODAY())&lt;MONTH(E365),AND(MONTH(TODAY())=MONTH(E365),DAY(TODAY())&lt;DAY(E365))),1,0))</f>
        <v>36</v>
      </c>
    </row>
    <row r="366" spans="1:6" x14ac:dyDescent="0.3">
      <c r="A366" s="34" t="s">
        <v>35</v>
      </c>
      <c r="B366" s="34">
        <v>1723508717</v>
      </c>
      <c r="C366" s="34" t="s">
        <v>392</v>
      </c>
      <c r="D366" s="35" t="s">
        <v>12</v>
      </c>
      <c r="E366" s="36">
        <v>34879</v>
      </c>
      <c r="F366" s="37">
        <f ca="1">IF(T_CÓDIGO[[#This Row],[FECHA DE NACIMIENTO]]="","",YEAR(TODAY())-YEAR(T_CÓDIGO[[#This Row],[FECHA DE NACIMIENTO]])-IF(OR(MONTH(TODAY())&lt;MONTH(E366),AND(MONTH(TODAY())=MONTH(E366),DAY(TODAY())&lt;DAY(E366))),1,0))</f>
        <v>29</v>
      </c>
    </row>
    <row r="367" spans="1:6" x14ac:dyDescent="0.3">
      <c r="A367" s="34" t="s">
        <v>26</v>
      </c>
      <c r="B367" s="34">
        <v>1726025784</v>
      </c>
      <c r="C367" s="34" t="s">
        <v>274</v>
      </c>
      <c r="D367" s="35" t="s">
        <v>24</v>
      </c>
      <c r="E367" s="36">
        <v>35646</v>
      </c>
      <c r="F367" s="37">
        <f ca="1">IF(T_CÓDIGO[[#This Row],[FECHA DE NACIMIENTO]]="","",YEAR(TODAY())-YEAR(T_CÓDIGO[[#This Row],[FECHA DE NACIMIENTO]])-IF(OR(MONTH(TODAY())&lt;MONTH(E367),AND(MONTH(TODAY())=MONTH(E367),DAY(TODAY())&lt;DAY(E367))),1,0))</f>
        <v>27</v>
      </c>
    </row>
    <row r="368" spans="1:6" x14ac:dyDescent="0.3">
      <c r="A368" s="34" t="s">
        <v>148</v>
      </c>
      <c r="B368" s="34" t="s">
        <v>596</v>
      </c>
      <c r="C368" s="34" t="s">
        <v>260</v>
      </c>
      <c r="D368" s="35" t="s">
        <v>12</v>
      </c>
      <c r="E368" s="36">
        <v>34590</v>
      </c>
      <c r="F368" s="37">
        <f ca="1">IF(T_CÓDIGO[[#This Row],[FECHA DE NACIMIENTO]]="","",YEAR(TODAY())-YEAR(T_CÓDIGO[[#This Row],[FECHA DE NACIMIENTO]])-IF(OR(MONTH(TODAY())&lt;MONTH(E368),AND(MONTH(TODAY())=MONTH(E368),DAY(TODAY())&lt;DAY(E368))),1,0))</f>
        <v>30</v>
      </c>
    </row>
    <row r="369" spans="1:6" x14ac:dyDescent="0.3">
      <c r="A369" s="34" t="s">
        <v>682</v>
      </c>
      <c r="B369" s="34" t="s">
        <v>683</v>
      </c>
      <c r="C369" s="34" t="s">
        <v>260</v>
      </c>
      <c r="D369" s="35" t="s">
        <v>12</v>
      </c>
      <c r="E369" s="36" t="s">
        <v>684</v>
      </c>
      <c r="F369" s="37">
        <f ca="1">IF(T_CÓDIGO[[#This Row],[FECHA DE NACIMIENTO]]="","",YEAR(TODAY())-YEAR(T_CÓDIGO[[#This Row],[FECHA DE NACIMIENTO]])-IF(OR(MONTH(TODAY())&lt;MONTH(E369),AND(MONTH(TODAY())=MONTH(E369),DAY(TODAY())&lt;DAY(E369))),1,0))</f>
        <v>25</v>
      </c>
    </row>
    <row r="370" spans="1:6" x14ac:dyDescent="0.3">
      <c r="A370" s="34" t="s">
        <v>597</v>
      </c>
      <c r="B370" s="34">
        <v>1400608707</v>
      </c>
      <c r="C370" s="34" t="s">
        <v>262</v>
      </c>
      <c r="D370" s="35" t="s">
        <v>12</v>
      </c>
      <c r="E370" s="36">
        <v>29996</v>
      </c>
      <c r="F370" s="37">
        <f ca="1">IF(T_CÓDIGO[[#This Row],[FECHA DE NACIMIENTO]]="","",YEAR(TODAY())-YEAR(T_CÓDIGO[[#This Row],[FECHA DE NACIMIENTO]])-IF(OR(MONTH(TODAY())&lt;MONTH(E370),AND(MONTH(TODAY())=MONTH(E370),DAY(TODAY())&lt;DAY(E370))),1,0))</f>
        <v>42</v>
      </c>
    </row>
    <row r="371" spans="1:6" x14ac:dyDescent="0.3">
      <c r="A371" s="34" t="s">
        <v>598</v>
      </c>
      <c r="B371" s="34" t="s">
        <v>599</v>
      </c>
      <c r="C371" s="34" t="s">
        <v>272</v>
      </c>
      <c r="D371" s="35" t="s">
        <v>24</v>
      </c>
      <c r="E371" s="36">
        <v>37819</v>
      </c>
      <c r="F371" s="37">
        <f ca="1">IF(T_CÓDIGO[[#This Row],[FECHA DE NACIMIENTO]]="","",YEAR(TODAY())-YEAR(T_CÓDIGO[[#This Row],[FECHA DE NACIMIENTO]])-IF(OR(MONTH(TODAY())&lt;MONTH(E371),AND(MONTH(TODAY())=MONTH(E371),DAY(TODAY())&lt;DAY(E371))),1,0))</f>
        <v>21</v>
      </c>
    </row>
    <row r="372" spans="1:6" x14ac:dyDescent="0.3">
      <c r="A372" s="34" t="s">
        <v>600</v>
      </c>
      <c r="B372" s="34">
        <v>1150415147</v>
      </c>
      <c r="C372" s="34" t="s">
        <v>262</v>
      </c>
      <c r="D372" s="35" t="s">
        <v>12</v>
      </c>
      <c r="E372" s="36">
        <v>37572</v>
      </c>
      <c r="F372" s="37">
        <f ca="1">IF(T_CÓDIGO[[#This Row],[FECHA DE NACIMIENTO]]="","",YEAR(TODAY())-YEAR(T_CÓDIGO[[#This Row],[FECHA DE NACIMIENTO]])-IF(OR(MONTH(TODAY())&lt;MONTH(E372),AND(MONTH(TODAY())=MONTH(E372),DAY(TODAY())&lt;DAY(E372))),1,0))</f>
        <v>22</v>
      </c>
    </row>
    <row r="373" spans="1:6" x14ac:dyDescent="0.3">
      <c r="A373" s="34" t="s">
        <v>601</v>
      </c>
      <c r="B373" s="34" t="s">
        <v>602</v>
      </c>
      <c r="C373" s="34" t="s">
        <v>268</v>
      </c>
      <c r="D373" s="35" t="s">
        <v>12</v>
      </c>
      <c r="E373" s="36">
        <v>25535</v>
      </c>
      <c r="F373" s="37">
        <f ca="1">IF(T_CÓDIGO[[#This Row],[FECHA DE NACIMIENTO]]="","",YEAR(TODAY())-YEAR(T_CÓDIGO[[#This Row],[FECHA DE NACIMIENTO]])-IF(OR(MONTH(TODAY())&lt;MONTH(E373),AND(MONTH(TODAY())=MONTH(E373),DAY(TODAY())&lt;DAY(E373))),1,0))</f>
        <v>55</v>
      </c>
    </row>
    <row r="374" spans="1:6" x14ac:dyDescent="0.3">
      <c r="A374" s="34" t="s">
        <v>603</v>
      </c>
      <c r="B374" s="34" t="s">
        <v>604</v>
      </c>
      <c r="C374" s="34" t="s">
        <v>260</v>
      </c>
      <c r="D374" s="35" t="s">
        <v>12</v>
      </c>
      <c r="E374" s="36">
        <v>38318</v>
      </c>
      <c r="F374" s="37">
        <f ca="1">IF(T_CÓDIGO[[#This Row],[FECHA DE NACIMIENTO]]="","",YEAR(TODAY())-YEAR(T_CÓDIGO[[#This Row],[FECHA DE NACIMIENTO]])-IF(OR(MONTH(TODAY())&lt;MONTH(E374),AND(MONTH(TODAY())=MONTH(E374),DAY(TODAY())&lt;DAY(E374))),1,0))</f>
        <v>20</v>
      </c>
    </row>
    <row r="375" spans="1:6" x14ac:dyDescent="0.3">
      <c r="A375" s="34" t="s">
        <v>146</v>
      </c>
      <c r="B375" s="34">
        <v>1950052868</v>
      </c>
      <c r="C375" s="34" t="s">
        <v>260</v>
      </c>
      <c r="D375" s="35" t="s">
        <v>12</v>
      </c>
      <c r="E375" s="36">
        <v>34590</v>
      </c>
      <c r="F375" s="37">
        <f ca="1">IF(T_CÓDIGO[[#This Row],[FECHA DE NACIMIENTO]]="","",YEAR(TODAY())-YEAR(T_CÓDIGO[[#This Row],[FECHA DE NACIMIENTO]])-IF(OR(MONTH(TODAY())&lt;MONTH(E375),AND(MONTH(TODAY())=MONTH(E375),DAY(TODAY())&lt;DAY(E375))),1,0))</f>
        <v>30</v>
      </c>
    </row>
    <row r="376" spans="1:6" x14ac:dyDescent="0.3">
      <c r="A376" s="34" t="s">
        <v>605</v>
      </c>
      <c r="B376" s="34" t="s">
        <v>606</v>
      </c>
      <c r="C376" s="34" t="s">
        <v>262</v>
      </c>
      <c r="D376" s="35" t="s">
        <v>12</v>
      </c>
      <c r="E376" s="36" t="s">
        <v>607</v>
      </c>
      <c r="F376" s="37">
        <f ca="1">IF(T_CÓDIGO[[#This Row],[FECHA DE NACIMIENTO]]="","",YEAR(TODAY())-YEAR(T_CÓDIGO[[#This Row],[FECHA DE NACIMIENTO]])-IF(OR(MONTH(TODAY())&lt;MONTH(E376),AND(MONTH(TODAY())=MONTH(E376),DAY(TODAY())&lt;DAY(E376))),1,0))</f>
        <v>23</v>
      </c>
    </row>
    <row r="377" spans="1:6" x14ac:dyDescent="0.3">
      <c r="A377" s="34" t="s">
        <v>877</v>
      </c>
      <c r="B377" s="34">
        <v>1719053520</v>
      </c>
      <c r="C377" s="34" t="s">
        <v>276</v>
      </c>
      <c r="D377" s="35" t="s">
        <v>12</v>
      </c>
      <c r="E377" s="36">
        <v>30614</v>
      </c>
      <c r="F377" s="37">
        <f ca="1">IF(T_CÓDIGO[[#This Row],[FECHA DE NACIMIENTO]]="","",YEAR(TODAY())-YEAR(T_CÓDIGO[[#This Row],[FECHA DE NACIMIENTO]])-IF(OR(MONTH(TODAY())&lt;MONTH(E377),AND(MONTH(TODAY())=MONTH(E377),DAY(TODAY())&lt;DAY(E377))),1,0))</f>
        <v>41</v>
      </c>
    </row>
    <row r="378" spans="1:6" x14ac:dyDescent="0.3">
      <c r="A378" s="34" t="s">
        <v>608</v>
      </c>
      <c r="B378" s="34" t="s">
        <v>609</v>
      </c>
      <c r="C378" s="34" t="s">
        <v>260</v>
      </c>
      <c r="D378" s="35" t="s">
        <v>12</v>
      </c>
      <c r="E378" s="36">
        <v>37222</v>
      </c>
      <c r="F378" s="37">
        <f ca="1">IF(T_CÓDIGO[[#This Row],[FECHA DE NACIMIENTO]]="","",YEAR(TODAY())-YEAR(T_CÓDIGO[[#This Row],[FECHA DE NACIMIENTO]])-IF(OR(MONTH(TODAY())&lt;MONTH(E378),AND(MONTH(TODAY())=MONTH(E378),DAY(TODAY())&lt;DAY(E378))),1,0))</f>
        <v>23</v>
      </c>
    </row>
    <row r="379" spans="1:6" x14ac:dyDescent="0.3">
      <c r="A379" s="34" t="s">
        <v>878</v>
      </c>
      <c r="B379" s="34" t="s">
        <v>879</v>
      </c>
      <c r="C379" s="34" t="s">
        <v>260</v>
      </c>
      <c r="D379" s="35" t="s">
        <v>12</v>
      </c>
      <c r="E379" s="36">
        <v>37028</v>
      </c>
      <c r="F379" s="37">
        <f ca="1">IF(T_CÓDIGO[[#This Row],[FECHA DE NACIMIENTO]]="","",YEAR(TODAY())-YEAR(T_CÓDIGO[[#This Row],[FECHA DE NACIMIENTO]])-IF(OR(MONTH(TODAY())&lt;MONTH(E379),AND(MONTH(TODAY())=MONTH(E379),DAY(TODAY())&lt;DAY(E379))),1,0))</f>
        <v>23</v>
      </c>
    </row>
    <row r="380" spans="1:6" x14ac:dyDescent="0.3">
      <c r="A380" s="34" t="s">
        <v>30</v>
      </c>
      <c r="B380" s="34">
        <v>1758751307</v>
      </c>
      <c r="C380" s="34" t="s">
        <v>610</v>
      </c>
      <c r="D380" s="35" t="s">
        <v>12</v>
      </c>
      <c r="E380" s="36">
        <v>32085</v>
      </c>
      <c r="F380" s="37">
        <f ca="1">IF(T_CÓDIGO[[#This Row],[FECHA DE NACIMIENTO]]="","",YEAR(TODAY())-YEAR(T_CÓDIGO[[#This Row],[FECHA DE NACIMIENTO]])-IF(OR(MONTH(TODAY())&lt;MONTH(E380),AND(MONTH(TODAY())=MONTH(E380),DAY(TODAY())&lt;DAY(E380))),1,0))</f>
        <v>37</v>
      </c>
    </row>
    <row r="381" spans="1:6" x14ac:dyDescent="0.3">
      <c r="A381" s="34" t="s">
        <v>611</v>
      </c>
      <c r="B381" s="34" t="s">
        <v>612</v>
      </c>
      <c r="C381" s="34" t="s">
        <v>278</v>
      </c>
      <c r="D381" s="35" t="s">
        <v>12</v>
      </c>
      <c r="E381" s="36">
        <v>34042</v>
      </c>
      <c r="F381" s="37">
        <f ca="1">IF(T_CÓDIGO[[#This Row],[FECHA DE NACIMIENTO]]="","",YEAR(TODAY())-YEAR(T_CÓDIGO[[#This Row],[FECHA DE NACIMIENTO]])-IF(OR(MONTH(TODAY())&lt;MONTH(E381),AND(MONTH(TODAY())=MONTH(E381),DAY(TODAY())&lt;DAY(E381))),1,0))</f>
        <v>31</v>
      </c>
    </row>
    <row r="382" spans="1:6" x14ac:dyDescent="0.3">
      <c r="A382" s="34" t="s">
        <v>613</v>
      </c>
      <c r="B382" s="34" t="s">
        <v>614</v>
      </c>
      <c r="C382" s="34" t="s">
        <v>277</v>
      </c>
      <c r="D382" s="35" t="s">
        <v>12</v>
      </c>
      <c r="E382" s="36">
        <v>35726</v>
      </c>
      <c r="F382" s="37">
        <f ca="1">IF(T_CÓDIGO[[#This Row],[FECHA DE NACIMIENTO]]="","",YEAR(TODAY())-YEAR(T_CÓDIGO[[#This Row],[FECHA DE NACIMIENTO]])-IF(OR(MONTH(TODAY())&lt;MONTH(E382),AND(MONTH(TODAY())=MONTH(E382),DAY(TODAY())&lt;DAY(E382))),1,0))</f>
        <v>27</v>
      </c>
    </row>
    <row r="383" spans="1:6" x14ac:dyDescent="0.3">
      <c r="A383" s="34" t="s">
        <v>61</v>
      </c>
      <c r="B383" s="34">
        <v>2300538978</v>
      </c>
      <c r="C383" s="34" t="s">
        <v>260</v>
      </c>
      <c r="D383" s="35" t="s">
        <v>12</v>
      </c>
      <c r="E383" s="36">
        <v>34083</v>
      </c>
      <c r="F383" s="37">
        <f ca="1">IF(T_CÓDIGO[[#This Row],[FECHA DE NACIMIENTO]]="","",YEAR(TODAY())-YEAR(T_CÓDIGO[[#This Row],[FECHA DE NACIMIENTO]])-IF(OR(MONTH(TODAY())&lt;MONTH(E383),AND(MONTH(TODAY())=MONTH(E383),DAY(TODAY())&lt;DAY(E383))),1,0))</f>
        <v>31</v>
      </c>
    </row>
    <row r="384" spans="1:6" x14ac:dyDescent="0.3">
      <c r="A384" s="34" t="s">
        <v>880</v>
      </c>
      <c r="B384" s="34" t="s">
        <v>881</v>
      </c>
      <c r="C384" s="34" t="s">
        <v>278</v>
      </c>
      <c r="D384" s="35" t="s">
        <v>24</v>
      </c>
      <c r="E384" s="36" t="s">
        <v>882</v>
      </c>
      <c r="F384" s="37">
        <f ca="1">IF(T_CÓDIGO[[#This Row],[FECHA DE NACIMIENTO]]="","",YEAR(TODAY())-YEAR(T_CÓDIGO[[#This Row],[FECHA DE NACIMIENTO]])-IF(OR(MONTH(TODAY())&lt;MONTH(E384),AND(MONTH(TODAY())=MONTH(E384),DAY(TODAY())&lt;DAY(E384))),1,0))</f>
        <v>30</v>
      </c>
    </row>
    <row r="385" spans="1:6" x14ac:dyDescent="0.3">
      <c r="A385" s="34" t="s">
        <v>695</v>
      </c>
      <c r="B385" s="34" t="s">
        <v>696</v>
      </c>
      <c r="C385" s="34" t="s">
        <v>697</v>
      </c>
      <c r="D385" s="35" t="s">
        <v>12</v>
      </c>
      <c r="E385" s="36" t="s">
        <v>698</v>
      </c>
      <c r="F385" s="37">
        <f ca="1">IF(T_CÓDIGO[[#This Row],[FECHA DE NACIMIENTO]]="","",YEAR(TODAY())-YEAR(T_CÓDIGO[[#This Row],[FECHA DE NACIMIENTO]])-IF(OR(MONTH(TODAY())&lt;MONTH(E385),AND(MONTH(TODAY())=MONTH(E385),DAY(TODAY())&lt;DAY(E385))),1,0))</f>
        <v>24</v>
      </c>
    </row>
    <row r="386" spans="1:6" x14ac:dyDescent="0.3">
      <c r="A386" s="34" t="s">
        <v>59</v>
      </c>
      <c r="B386" s="34">
        <v>1758217416</v>
      </c>
      <c r="C386" s="34" t="s">
        <v>278</v>
      </c>
      <c r="D386" s="35" t="s">
        <v>12</v>
      </c>
      <c r="E386" s="36">
        <v>33780</v>
      </c>
      <c r="F386" s="37">
        <f ca="1">IF(T_CÓDIGO[[#This Row],[FECHA DE NACIMIENTO]]="","",YEAR(TODAY())-YEAR(T_CÓDIGO[[#This Row],[FECHA DE NACIMIENTO]])-IF(OR(MONTH(TODAY())&lt;MONTH(E386),AND(MONTH(TODAY())=MONTH(E386),DAY(TODAY())&lt;DAY(E386))),1,0))</f>
        <v>32</v>
      </c>
    </row>
    <row r="387" spans="1:6" x14ac:dyDescent="0.3">
      <c r="A387" s="34" t="s">
        <v>615</v>
      </c>
      <c r="B387" s="34">
        <v>1401009004</v>
      </c>
      <c r="C387" s="34" t="s">
        <v>260</v>
      </c>
      <c r="D387" s="35" t="s">
        <v>12</v>
      </c>
      <c r="E387" s="36">
        <v>36965</v>
      </c>
      <c r="F387" s="37">
        <f ca="1">IF(T_CÓDIGO[[#This Row],[FECHA DE NACIMIENTO]]="","",YEAR(TODAY())-YEAR(T_CÓDIGO[[#This Row],[FECHA DE NACIMIENTO]])-IF(OR(MONTH(TODAY())&lt;MONTH(E387),AND(MONTH(TODAY())=MONTH(E387),DAY(TODAY())&lt;DAY(E387))),1,0))</f>
        <v>23</v>
      </c>
    </row>
    <row r="388" spans="1:6" x14ac:dyDescent="0.3">
      <c r="A388" s="34" t="s">
        <v>141</v>
      </c>
      <c r="B388" s="34" t="s">
        <v>616</v>
      </c>
      <c r="C388" s="34" t="s">
        <v>276</v>
      </c>
      <c r="D388" s="35" t="s">
        <v>12</v>
      </c>
      <c r="E388" s="36">
        <v>32261</v>
      </c>
      <c r="F388" s="37">
        <f ca="1">IF(T_CÓDIGO[[#This Row],[FECHA DE NACIMIENTO]]="","",YEAR(TODAY())-YEAR(T_CÓDIGO[[#This Row],[FECHA DE NACIMIENTO]])-IF(OR(MONTH(TODAY())&lt;MONTH(E388),AND(MONTH(TODAY())=MONTH(E388),DAY(TODAY())&lt;DAY(E388))),1,0))</f>
        <v>36</v>
      </c>
    </row>
    <row r="389" spans="1:6" x14ac:dyDescent="0.3">
      <c r="A389" s="34" t="s">
        <v>96</v>
      </c>
      <c r="B389" s="34">
        <v>1900361799</v>
      </c>
      <c r="C389" s="34" t="s">
        <v>271</v>
      </c>
      <c r="D389" s="35" t="s">
        <v>12</v>
      </c>
      <c r="E389" s="36">
        <v>28488</v>
      </c>
      <c r="F389" s="37">
        <f ca="1">IF(T_CÓDIGO[[#This Row],[FECHA DE NACIMIENTO]]="","",YEAR(TODAY())-YEAR(T_CÓDIGO[[#This Row],[FECHA DE NACIMIENTO]])-IF(OR(MONTH(TODAY())&lt;MONTH(E389),AND(MONTH(TODAY())=MONTH(E389),DAY(TODAY())&lt;DAY(E389))),1,0))</f>
        <v>46</v>
      </c>
    </row>
    <row r="390" spans="1:6" x14ac:dyDescent="0.3">
      <c r="A390" s="34" t="s">
        <v>883</v>
      </c>
      <c r="B390" s="34">
        <v>11750019174</v>
      </c>
      <c r="C390" s="34" t="s">
        <v>279</v>
      </c>
      <c r="D390" s="35" t="s">
        <v>12</v>
      </c>
      <c r="E390" s="36">
        <v>35963</v>
      </c>
      <c r="F390" s="37">
        <f ca="1">IF(T_CÓDIGO[[#This Row],[FECHA DE NACIMIENTO]]="","",YEAR(TODAY())-YEAR(T_CÓDIGO[[#This Row],[FECHA DE NACIMIENTO]])-IF(OR(MONTH(TODAY())&lt;MONTH(E390),AND(MONTH(TODAY())=MONTH(E390),DAY(TODAY())&lt;DAY(E390))),1,0))</f>
        <v>26</v>
      </c>
    </row>
    <row r="391" spans="1:6" x14ac:dyDescent="0.3">
      <c r="A391" s="34" t="s">
        <v>617</v>
      </c>
      <c r="B391" s="34">
        <v>1400832109</v>
      </c>
      <c r="C391" s="34" t="s">
        <v>260</v>
      </c>
      <c r="D391" s="35" t="s">
        <v>12</v>
      </c>
      <c r="E391" s="36">
        <v>33095</v>
      </c>
      <c r="F391" s="37">
        <f ca="1">IF(T_CÓDIGO[[#This Row],[FECHA DE NACIMIENTO]]="","",YEAR(TODAY())-YEAR(T_CÓDIGO[[#This Row],[FECHA DE NACIMIENTO]])-IF(OR(MONTH(TODAY())&lt;MONTH(E391),AND(MONTH(TODAY())=MONTH(E391),DAY(TODAY())&lt;DAY(E391))),1,0))</f>
        <v>34</v>
      </c>
    </row>
    <row r="392" spans="1:6" x14ac:dyDescent="0.3">
      <c r="A392" s="34" t="s">
        <v>618</v>
      </c>
      <c r="B392" s="34" t="s">
        <v>884</v>
      </c>
      <c r="C392" s="34" t="s">
        <v>260</v>
      </c>
      <c r="D392" s="35" t="s">
        <v>12</v>
      </c>
      <c r="E392" s="36">
        <v>33657</v>
      </c>
      <c r="F392" s="37">
        <f ca="1">IF(T_CÓDIGO[[#This Row],[FECHA DE NACIMIENTO]]="","",YEAR(TODAY())-YEAR(T_CÓDIGO[[#This Row],[FECHA DE NACIMIENTO]])-IF(OR(MONTH(TODAY())&lt;MONTH(E392),AND(MONTH(TODAY())=MONTH(E392),DAY(TODAY())&lt;DAY(E392))),1,0))</f>
        <v>32</v>
      </c>
    </row>
    <row r="393" spans="1:6" x14ac:dyDescent="0.3">
      <c r="A393" s="34" t="s">
        <v>140</v>
      </c>
      <c r="B393" s="34">
        <v>1950023927</v>
      </c>
      <c r="C393" s="34" t="s">
        <v>260</v>
      </c>
      <c r="D393" s="35" t="s">
        <v>12</v>
      </c>
      <c r="E393" s="36">
        <v>34913</v>
      </c>
      <c r="F393" s="37">
        <f ca="1">IF(T_CÓDIGO[[#This Row],[FECHA DE NACIMIENTO]]="","",YEAR(TODAY())-YEAR(T_CÓDIGO[[#This Row],[FECHA DE NACIMIENTO]])-IF(OR(MONTH(TODAY())&lt;MONTH(E393),AND(MONTH(TODAY())=MONTH(E393),DAY(TODAY())&lt;DAY(E393))),1,0))</f>
        <v>29</v>
      </c>
    </row>
    <row r="394" spans="1:6" x14ac:dyDescent="0.3">
      <c r="A394" s="34" t="s">
        <v>672</v>
      </c>
      <c r="B394" s="34" t="s">
        <v>673</v>
      </c>
      <c r="C394" s="34" t="s">
        <v>319</v>
      </c>
      <c r="D394" s="35" t="s">
        <v>12</v>
      </c>
      <c r="E394" s="36">
        <v>35500</v>
      </c>
      <c r="F394" s="37">
        <f ca="1">IF(T_CÓDIGO[[#This Row],[FECHA DE NACIMIENTO]]="","",YEAR(TODAY())-YEAR(T_CÓDIGO[[#This Row],[FECHA DE NACIMIENTO]])-IF(OR(MONTH(TODAY())&lt;MONTH(E394),AND(MONTH(TODAY())=MONTH(E394),DAY(TODAY())&lt;DAY(E394))),1,0))</f>
        <v>27</v>
      </c>
    </row>
    <row r="395" spans="1:6" x14ac:dyDescent="0.3">
      <c r="A395" s="34" t="s">
        <v>153</v>
      </c>
      <c r="B395" s="34" t="s">
        <v>619</v>
      </c>
      <c r="C395" s="34" t="s">
        <v>433</v>
      </c>
      <c r="D395" s="35" t="s">
        <v>12</v>
      </c>
      <c r="E395" s="36">
        <v>37387</v>
      </c>
      <c r="F395" s="37">
        <f ca="1">IF(T_CÓDIGO[[#This Row],[FECHA DE NACIMIENTO]]="","",YEAR(TODAY())-YEAR(T_CÓDIGO[[#This Row],[FECHA DE NACIMIENTO]])-IF(OR(MONTH(TODAY())&lt;MONTH(E395),AND(MONTH(TODAY())=MONTH(E395),DAY(TODAY())&lt;DAY(E395))),1,0))</f>
        <v>22</v>
      </c>
    </row>
    <row r="396" spans="1:6" x14ac:dyDescent="0.3">
      <c r="A396" s="34" t="s">
        <v>620</v>
      </c>
      <c r="B396" s="34" t="s">
        <v>621</v>
      </c>
      <c r="C396" s="34" t="s">
        <v>260</v>
      </c>
      <c r="D396" s="35" t="s">
        <v>12</v>
      </c>
      <c r="E396" s="36">
        <v>35887</v>
      </c>
      <c r="F396" s="37">
        <f ca="1">IF(T_CÓDIGO[[#This Row],[FECHA DE NACIMIENTO]]="","",YEAR(TODAY())-YEAR(T_CÓDIGO[[#This Row],[FECHA DE NACIMIENTO]])-IF(OR(MONTH(TODAY())&lt;MONTH(E396),AND(MONTH(TODAY())=MONTH(E396),DAY(TODAY())&lt;DAY(E396))),1,0))</f>
        <v>26</v>
      </c>
    </row>
    <row r="397" spans="1:6" x14ac:dyDescent="0.3">
      <c r="A397" s="34" t="s">
        <v>622</v>
      </c>
      <c r="B397" s="34">
        <v>1714058052</v>
      </c>
      <c r="C397" s="34" t="s">
        <v>277</v>
      </c>
      <c r="D397" s="35" t="s">
        <v>12</v>
      </c>
      <c r="E397" s="36">
        <v>33841</v>
      </c>
      <c r="F397" s="37">
        <f ca="1">IF(T_CÓDIGO[[#This Row],[FECHA DE NACIMIENTO]]="","",YEAR(TODAY())-YEAR(T_CÓDIGO[[#This Row],[FECHA DE NACIMIENTO]])-IF(OR(MONTH(TODAY())&lt;MONTH(E397),AND(MONTH(TODAY())=MONTH(E397),DAY(TODAY())&lt;DAY(E397))),1,0))</f>
        <v>32</v>
      </c>
    </row>
    <row r="398" spans="1:6" x14ac:dyDescent="0.3">
      <c r="A398" s="34" t="s">
        <v>885</v>
      </c>
      <c r="B398" s="34" t="s">
        <v>886</v>
      </c>
      <c r="C398" s="34" t="s">
        <v>260</v>
      </c>
      <c r="D398" s="35" t="s">
        <v>12</v>
      </c>
      <c r="E398" s="36">
        <v>33315</v>
      </c>
      <c r="F398" s="37">
        <f ca="1">IF(T_CÓDIGO[[#This Row],[FECHA DE NACIMIENTO]]="","",YEAR(TODAY())-YEAR(T_CÓDIGO[[#This Row],[FECHA DE NACIMIENTO]])-IF(OR(MONTH(TODAY())&lt;MONTH(E398),AND(MONTH(TODAY())=MONTH(E398),DAY(TODAY())&lt;DAY(E398))),1,0))</f>
        <v>33</v>
      </c>
    </row>
    <row r="399" spans="1:6" x14ac:dyDescent="0.3">
      <c r="A399" s="34" t="s">
        <v>887</v>
      </c>
      <c r="B399" s="34" t="s">
        <v>888</v>
      </c>
      <c r="C399" s="34" t="s">
        <v>348</v>
      </c>
      <c r="D399" s="35" t="s">
        <v>24</v>
      </c>
      <c r="E399" s="36" t="s">
        <v>889</v>
      </c>
      <c r="F399" s="37">
        <f ca="1">IF(T_CÓDIGO[[#This Row],[FECHA DE NACIMIENTO]]="","",YEAR(TODAY())-YEAR(T_CÓDIGO[[#This Row],[FECHA DE NACIMIENTO]])-IF(OR(MONTH(TODAY())&lt;MONTH(E399),AND(MONTH(TODAY())=MONTH(E399),DAY(TODAY())&lt;DAY(E399))),1,0))</f>
        <v>22</v>
      </c>
    </row>
    <row r="400" spans="1:6" x14ac:dyDescent="0.3">
      <c r="A400" s="34" t="s">
        <v>890</v>
      </c>
      <c r="B400" s="34" t="s">
        <v>891</v>
      </c>
      <c r="C400" s="34" t="s">
        <v>302</v>
      </c>
      <c r="D400" s="35" t="s">
        <v>12</v>
      </c>
      <c r="E400" s="36" t="s">
        <v>892</v>
      </c>
      <c r="F400" s="37">
        <f ca="1">IF(T_CÓDIGO[[#This Row],[FECHA DE NACIMIENTO]]="","",YEAR(TODAY())-YEAR(T_CÓDIGO[[#This Row],[FECHA DE NACIMIENTO]])-IF(OR(MONTH(TODAY())&lt;MONTH(E400),AND(MONTH(TODAY())=MONTH(E400),DAY(TODAY())&lt;DAY(E400))),1,0))</f>
        <v>27</v>
      </c>
    </row>
    <row r="401" spans="1:6" x14ac:dyDescent="0.3">
      <c r="A401" s="34" t="s">
        <v>893</v>
      </c>
      <c r="B401" s="34" t="s">
        <v>671</v>
      </c>
      <c r="C401" s="34" t="s">
        <v>260</v>
      </c>
      <c r="D401" s="35" t="s">
        <v>12</v>
      </c>
      <c r="E401" s="36">
        <v>37344</v>
      </c>
      <c r="F401" s="37">
        <f ca="1">IF(T_CÓDIGO[[#This Row],[FECHA DE NACIMIENTO]]="","",YEAR(TODAY())-YEAR(T_CÓDIGO[[#This Row],[FECHA DE NACIMIENTO]])-IF(OR(MONTH(TODAY())&lt;MONTH(E401),AND(MONTH(TODAY())=MONTH(E401),DAY(TODAY())&lt;DAY(E401))),1,0))</f>
        <v>22</v>
      </c>
    </row>
    <row r="402" spans="1:6" x14ac:dyDescent="0.3">
      <c r="A402" s="34" t="s">
        <v>17</v>
      </c>
      <c r="B402" s="34" t="s">
        <v>623</v>
      </c>
      <c r="C402" s="34" t="s">
        <v>262</v>
      </c>
      <c r="D402" s="35" t="s">
        <v>12</v>
      </c>
      <c r="E402" s="36">
        <v>32560</v>
      </c>
      <c r="F402" s="37">
        <f ca="1">IF(T_CÓDIGO[[#This Row],[FECHA DE NACIMIENTO]]="","",YEAR(TODAY())-YEAR(T_CÓDIGO[[#This Row],[FECHA DE NACIMIENTO]])-IF(OR(MONTH(TODAY())&lt;MONTH(E402),AND(MONTH(TODAY())=MONTH(E402),DAY(TODAY())&lt;DAY(E402))),1,0))</f>
        <v>35</v>
      </c>
    </row>
    <row r="403" spans="1:6" x14ac:dyDescent="0.3">
      <c r="A403" s="34" t="s">
        <v>624</v>
      </c>
      <c r="B403" s="34" t="s">
        <v>625</v>
      </c>
      <c r="C403" s="34" t="s">
        <v>262</v>
      </c>
      <c r="D403" s="35" t="s">
        <v>12</v>
      </c>
      <c r="E403" s="36">
        <v>25127</v>
      </c>
      <c r="F403" s="37">
        <f ca="1">IF(T_CÓDIGO[[#This Row],[FECHA DE NACIMIENTO]]="","",YEAR(TODAY())-YEAR(T_CÓDIGO[[#This Row],[FECHA DE NACIMIENTO]])-IF(OR(MONTH(TODAY())&lt;MONTH(E403),AND(MONTH(TODAY())=MONTH(E403),DAY(TODAY())&lt;DAY(E403))),1,0))</f>
        <v>56</v>
      </c>
    </row>
    <row r="404" spans="1:6" x14ac:dyDescent="0.3">
      <c r="A404" s="34" t="s">
        <v>894</v>
      </c>
      <c r="B404" s="34" t="s">
        <v>895</v>
      </c>
      <c r="C404" s="34" t="s">
        <v>262</v>
      </c>
      <c r="D404" s="35" t="s">
        <v>12</v>
      </c>
      <c r="E404" s="36">
        <v>37352</v>
      </c>
      <c r="F404" s="37">
        <f ca="1">IF(T_CÓDIGO[[#This Row],[FECHA DE NACIMIENTO]]="","",YEAR(TODAY())-YEAR(T_CÓDIGO[[#This Row],[FECHA DE NACIMIENTO]])-IF(OR(MONTH(TODAY())&lt;MONTH(E404),AND(MONTH(TODAY())=MONTH(E404),DAY(TODAY())&lt;DAY(E404))),1,0))</f>
        <v>22</v>
      </c>
    </row>
    <row r="405" spans="1:6" x14ac:dyDescent="0.3">
      <c r="A405" s="34" t="s">
        <v>54</v>
      </c>
      <c r="B405" s="34" t="s">
        <v>626</v>
      </c>
      <c r="C405" s="34" t="s">
        <v>262</v>
      </c>
      <c r="D405" s="35" t="s">
        <v>12</v>
      </c>
      <c r="E405" s="36">
        <v>31245</v>
      </c>
      <c r="F405" s="37">
        <f ca="1">IF(T_CÓDIGO[[#This Row],[FECHA DE NACIMIENTO]]="","",YEAR(TODAY())-YEAR(T_CÓDIGO[[#This Row],[FECHA DE NACIMIENTO]])-IF(OR(MONTH(TODAY())&lt;MONTH(E405),AND(MONTH(TODAY())=MONTH(E405),DAY(TODAY())&lt;DAY(E405))),1,0))</f>
        <v>39</v>
      </c>
    </row>
    <row r="406" spans="1:6" x14ac:dyDescent="0.3">
      <c r="A406" s="34" t="s">
        <v>627</v>
      </c>
      <c r="B406" s="34" t="s">
        <v>628</v>
      </c>
      <c r="C406" s="34" t="s">
        <v>262</v>
      </c>
      <c r="D406" s="35" t="s">
        <v>12</v>
      </c>
      <c r="E406" s="36">
        <v>34923</v>
      </c>
      <c r="F406" s="37">
        <f ca="1">IF(T_CÓDIGO[[#This Row],[FECHA DE NACIMIENTO]]="","",YEAR(TODAY())-YEAR(T_CÓDIGO[[#This Row],[FECHA DE NACIMIENTO]])-IF(OR(MONTH(TODAY())&lt;MONTH(E406),AND(MONTH(TODAY())=MONTH(E406),DAY(TODAY())&lt;DAY(E406))),1,0))</f>
        <v>29</v>
      </c>
    </row>
    <row r="407" spans="1:6" x14ac:dyDescent="0.3">
      <c r="A407" s="34" t="s">
        <v>19</v>
      </c>
      <c r="B407" s="34" t="s">
        <v>629</v>
      </c>
      <c r="C407" s="34" t="s">
        <v>262</v>
      </c>
      <c r="D407" s="35" t="s">
        <v>12</v>
      </c>
      <c r="E407" s="36">
        <v>25789</v>
      </c>
      <c r="F407" s="37">
        <f ca="1">IF(T_CÓDIGO[[#This Row],[FECHA DE NACIMIENTO]]="","",YEAR(TODAY())-YEAR(T_CÓDIGO[[#This Row],[FECHA DE NACIMIENTO]])-IF(OR(MONTH(TODAY())&lt;MONTH(E407),AND(MONTH(TODAY())=MONTH(E407),DAY(TODAY())&lt;DAY(E407))),1,0))</f>
        <v>54</v>
      </c>
    </row>
    <row r="408" spans="1:6" x14ac:dyDescent="0.3">
      <c r="A408" s="34" t="s">
        <v>896</v>
      </c>
      <c r="B408" s="34" t="s">
        <v>897</v>
      </c>
      <c r="C408" s="34" t="s">
        <v>315</v>
      </c>
      <c r="D408" s="35" t="s">
        <v>12</v>
      </c>
      <c r="E408" s="36" t="s">
        <v>898</v>
      </c>
      <c r="F408" s="37">
        <f ca="1">IF(T_CÓDIGO[[#This Row],[FECHA DE NACIMIENTO]]="","",YEAR(TODAY())-YEAR(T_CÓDIGO[[#This Row],[FECHA DE NACIMIENTO]])-IF(OR(MONTH(TODAY())&lt;MONTH(E408),AND(MONTH(TODAY())=MONTH(E408),DAY(TODAY())&lt;DAY(E408))),1,0))</f>
        <v>54</v>
      </c>
    </row>
    <row r="409" spans="1:6" x14ac:dyDescent="0.3">
      <c r="A409" s="34" t="s">
        <v>899</v>
      </c>
      <c r="B409" s="34" t="s">
        <v>900</v>
      </c>
      <c r="C409" s="34" t="s">
        <v>262</v>
      </c>
      <c r="D409" s="35" t="s">
        <v>12</v>
      </c>
      <c r="E409" s="36">
        <v>37135</v>
      </c>
      <c r="F409" s="37">
        <f ca="1">IF(T_CÓDIGO[[#This Row],[FECHA DE NACIMIENTO]]="","",YEAR(TODAY())-YEAR(T_CÓDIGO[[#This Row],[FECHA DE NACIMIENTO]])-IF(OR(MONTH(TODAY())&lt;MONTH(E409),AND(MONTH(TODAY())=MONTH(E409),DAY(TODAY())&lt;DAY(E409))),1,0))</f>
        <v>23</v>
      </c>
    </row>
    <row r="410" spans="1:6" x14ac:dyDescent="0.3">
      <c r="A410" s="34" t="s">
        <v>630</v>
      </c>
      <c r="B410" s="34" t="s">
        <v>901</v>
      </c>
      <c r="C410" s="34" t="s">
        <v>260</v>
      </c>
      <c r="D410" s="35" t="s">
        <v>12</v>
      </c>
      <c r="E410" s="36">
        <v>36101</v>
      </c>
      <c r="F410" s="37">
        <f ca="1">IF(T_CÓDIGO[[#This Row],[FECHA DE NACIMIENTO]]="","",YEAR(TODAY())-YEAR(T_CÓDIGO[[#This Row],[FECHA DE NACIMIENTO]])-IF(OR(MONTH(TODAY())&lt;MONTH(E410),AND(MONTH(TODAY())=MONTH(E410),DAY(TODAY())&lt;DAY(E410))),1,0))</f>
        <v>26</v>
      </c>
    </row>
    <row r="411" spans="1:6" x14ac:dyDescent="0.3">
      <c r="A411" s="34" t="s">
        <v>902</v>
      </c>
      <c r="B411" s="34">
        <v>1150295192</v>
      </c>
      <c r="C411" s="34" t="s">
        <v>279</v>
      </c>
      <c r="D411" s="35" t="s">
        <v>12</v>
      </c>
      <c r="E411" s="36">
        <v>37464</v>
      </c>
      <c r="F411" s="37">
        <f ca="1">IF(T_CÓDIGO[[#This Row],[FECHA DE NACIMIENTO]]="","",YEAR(TODAY())-YEAR(T_CÓDIGO[[#This Row],[FECHA DE NACIMIENTO]])-IF(OR(MONTH(TODAY())&lt;MONTH(E411),AND(MONTH(TODAY())=MONTH(E411),DAY(TODAY())&lt;DAY(E411))),1,0))</f>
        <v>22</v>
      </c>
    </row>
    <row r="412" spans="1:6" x14ac:dyDescent="0.3">
      <c r="A412" s="34" t="s">
        <v>631</v>
      </c>
      <c r="B412" s="34">
        <v>1400797690</v>
      </c>
      <c r="C412" s="34" t="s">
        <v>262</v>
      </c>
      <c r="D412" s="35" t="s">
        <v>12</v>
      </c>
      <c r="E412" s="36">
        <v>32394</v>
      </c>
      <c r="F412" s="37">
        <f ca="1">IF(T_CÓDIGO[[#This Row],[FECHA DE NACIMIENTO]]="","",YEAR(TODAY())-YEAR(T_CÓDIGO[[#This Row],[FECHA DE NACIMIENTO]])-IF(OR(MONTH(TODAY())&lt;MONTH(E412),AND(MONTH(TODAY())=MONTH(E412),DAY(TODAY())&lt;DAY(E412))),1,0))</f>
        <v>36</v>
      </c>
    </row>
    <row r="413" spans="1:6" x14ac:dyDescent="0.3">
      <c r="A413" s="34" t="s">
        <v>702</v>
      </c>
      <c r="B413" s="34">
        <v>1401280597</v>
      </c>
      <c r="C413" s="34" t="s">
        <v>260</v>
      </c>
      <c r="D413" s="35" t="s">
        <v>12</v>
      </c>
      <c r="E413" s="36">
        <v>34320</v>
      </c>
      <c r="F413" s="37">
        <f ca="1">IF(T_CÓDIGO[[#This Row],[FECHA DE NACIMIENTO]]="","",YEAR(TODAY())-YEAR(T_CÓDIGO[[#This Row],[FECHA DE NACIMIENTO]])-IF(OR(MONTH(TODAY())&lt;MONTH(E413),AND(MONTH(TODAY())=MONTH(E413),DAY(TODAY())&lt;DAY(E413))),1,0))</f>
        <v>30</v>
      </c>
    </row>
    <row r="414" spans="1:6" x14ac:dyDescent="0.3">
      <c r="A414" s="34" t="s">
        <v>903</v>
      </c>
      <c r="B414" s="34" t="s">
        <v>904</v>
      </c>
      <c r="C414" s="34" t="s">
        <v>260</v>
      </c>
      <c r="D414" s="35" t="s">
        <v>12</v>
      </c>
      <c r="E414" s="36">
        <v>35438</v>
      </c>
      <c r="F414" s="37">
        <f ca="1">IF(T_CÓDIGO[[#This Row],[FECHA DE NACIMIENTO]]="","",YEAR(TODAY())-YEAR(T_CÓDIGO[[#This Row],[FECHA DE NACIMIENTO]])-IF(OR(MONTH(TODAY())&lt;MONTH(E414),AND(MONTH(TODAY())=MONTH(E414),DAY(TODAY())&lt;DAY(E414))),1,0))</f>
        <v>27</v>
      </c>
    </row>
    <row r="415" spans="1:6" x14ac:dyDescent="0.3">
      <c r="A415" s="34" t="s">
        <v>905</v>
      </c>
      <c r="B415" s="34" t="s">
        <v>906</v>
      </c>
      <c r="C415" s="34" t="s">
        <v>260</v>
      </c>
      <c r="D415" s="35" t="s">
        <v>12</v>
      </c>
      <c r="E415" s="36">
        <v>37504</v>
      </c>
      <c r="F415" s="37">
        <f ca="1">IF(T_CÓDIGO[[#This Row],[FECHA DE NACIMIENTO]]="","",YEAR(TODAY())-YEAR(T_CÓDIGO[[#This Row],[FECHA DE NACIMIENTO]])-IF(OR(MONTH(TODAY())&lt;MONTH(E415),AND(MONTH(TODAY())=MONTH(E415),DAY(TODAY())&lt;DAY(E415))),1,0))</f>
        <v>22</v>
      </c>
    </row>
    <row r="416" spans="1:6" x14ac:dyDescent="0.3">
      <c r="A416" s="34" t="s">
        <v>907</v>
      </c>
      <c r="B416" s="34" t="s">
        <v>908</v>
      </c>
      <c r="C416" s="34" t="s">
        <v>260</v>
      </c>
      <c r="D416" s="35" t="s">
        <v>12</v>
      </c>
      <c r="E416" s="36">
        <v>32139</v>
      </c>
      <c r="F416" s="37">
        <f ca="1">IF(T_CÓDIGO[[#This Row],[FECHA DE NACIMIENTO]]="","",YEAR(TODAY())-YEAR(T_CÓDIGO[[#This Row],[FECHA DE NACIMIENTO]])-IF(OR(MONTH(TODAY())&lt;MONTH(E416),AND(MONTH(TODAY())=MONTH(E416),DAY(TODAY())&lt;DAY(E416))),1,0))</f>
        <v>36</v>
      </c>
    </row>
    <row r="417" spans="1:6" x14ac:dyDescent="0.3">
      <c r="A417" s="34" t="s">
        <v>101</v>
      </c>
      <c r="B417" s="34">
        <v>1900638469</v>
      </c>
      <c r="C417" s="34" t="s">
        <v>260</v>
      </c>
      <c r="D417" s="35" t="s">
        <v>12</v>
      </c>
      <c r="E417" s="36">
        <v>32455</v>
      </c>
      <c r="F417" s="37">
        <f ca="1">IF(T_CÓDIGO[[#This Row],[FECHA DE NACIMIENTO]]="","",YEAR(TODAY())-YEAR(T_CÓDIGO[[#This Row],[FECHA DE NACIMIENTO]])-IF(OR(MONTH(TODAY())&lt;MONTH(E417),AND(MONTH(TODAY())=MONTH(E417),DAY(TODAY())&lt;DAY(E417))),1,0))</f>
        <v>36</v>
      </c>
    </row>
    <row r="418" spans="1:6" x14ac:dyDescent="0.3">
      <c r="A418" s="34" t="s">
        <v>632</v>
      </c>
      <c r="B418" s="34">
        <v>1401265242</v>
      </c>
      <c r="C418" s="34" t="s">
        <v>260</v>
      </c>
      <c r="D418" s="35" t="s">
        <v>12</v>
      </c>
      <c r="E418" s="36">
        <v>37223</v>
      </c>
      <c r="F418" s="37">
        <f ca="1">IF(T_CÓDIGO[[#This Row],[FECHA DE NACIMIENTO]]="","",YEAR(TODAY())-YEAR(T_CÓDIGO[[#This Row],[FECHA DE NACIMIENTO]])-IF(OR(MONTH(TODAY())&lt;MONTH(E418),AND(MONTH(TODAY())=MONTH(E418),DAY(TODAY())&lt;DAY(E418))),1,0))</f>
        <v>23</v>
      </c>
    </row>
    <row r="419" spans="1:6" x14ac:dyDescent="0.3">
      <c r="A419" s="34" t="s">
        <v>633</v>
      </c>
      <c r="B419" s="34" t="s">
        <v>634</v>
      </c>
      <c r="C419" s="34" t="s">
        <v>292</v>
      </c>
      <c r="D419" s="35" t="s">
        <v>12</v>
      </c>
      <c r="E419" s="36">
        <v>34430</v>
      </c>
      <c r="F419" s="37">
        <f ca="1">IF(T_CÓDIGO[[#This Row],[FECHA DE NACIMIENTO]]="","",YEAR(TODAY())-YEAR(T_CÓDIGO[[#This Row],[FECHA DE NACIMIENTO]])-IF(OR(MONTH(TODAY())&lt;MONTH(E419),AND(MONTH(TODAY())=MONTH(E419),DAY(TODAY())&lt;DAY(E419))),1,0))</f>
        <v>30</v>
      </c>
    </row>
    <row r="420" spans="1:6" x14ac:dyDescent="0.3">
      <c r="A420" s="34" t="s">
        <v>635</v>
      </c>
      <c r="B420" s="34" t="s">
        <v>636</v>
      </c>
      <c r="C420" s="34" t="s">
        <v>260</v>
      </c>
      <c r="D420" s="35" t="s">
        <v>12</v>
      </c>
      <c r="E420" s="36">
        <v>35284</v>
      </c>
      <c r="F420" s="37">
        <f ca="1">IF(T_CÓDIGO[[#This Row],[FECHA DE NACIMIENTO]]="","",YEAR(TODAY())-YEAR(T_CÓDIGO[[#This Row],[FECHA DE NACIMIENTO]])-IF(OR(MONTH(TODAY())&lt;MONTH(E420),AND(MONTH(TODAY())=MONTH(E420),DAY(TODAY())&lt;DAY(E420))),1,0))</f>
        <v>28</v>
      </c>
    </row>
    <row r="421" spans="1:6" x14ac:dyDescent="0.3">
      <c r="A421" s="34" t="s">
        <v>42</v>
      </c>
      <c r="B421" s="34">
        <v>1718485111</v>
      </c>
      <c r="C421" s="34" t="s">
        <v>637</v>
      </c>
      <c r="D421" s="35" t="s">
        <v>12</v>
      </c>
      <c r="E421" s="36">
        <v>30513</v>
      </c>
      <c r="F421" s="37">
        <f ca="1">IF(T_CÓDIGO[[#This Row],[FECHA DE NACIMIENTO]]="","",YEAR(TODAY())-YEAR(T_CÓDIGO[[#This Row],[FECHA DE NACIMIENTO]])-IF(OR(MONTH(TODAY())&lt;MONTH(E421),AND(MONTH(TODAY())=MONTH(E421),DAY(TODAY())&lt;DAY(E421))),1,0))</f>
        <v>41</v>
      </c>
    </row>
    <row r="422" spans="1:6" x14ac:dyDescent="0.3">
      <c r="A422" s="34" t="s">
        <v>638</v>
      </c>
      <c r="B422" s="34" t="s">
        <v>639</v>
      </c>
      <c r="C422" s="34" t="s">
        <v>279</v>
      </c>
      <c r="D422" s="35" t="s">
        <v>12</v>
      </c>
      <c r="E422" s="36">
        <v>32375</v>
      </c>
      <c r="F422" s="37">
        <f ca="1">IF(T_CÓDIGO[[#This Row],[FECHA DE NACIMIENTO]]="","",YEAR(TODAY())-YEAR(T_CÓDIGO[[#This Row],[FECHA DE NACIMIENTO]])-IF(OR(MONTH(TODAY())&lt;MONTH(E422),AND(MONTH(TODAY())=MONTH(E422),DAY(TODAY())&lt;DAY(E422))),1,0))</f>
        <v>36</v>
      </c>
    </row>
    <row r="423" spans="1:6" x14ac:dyDescent="0.3">
      <c r="A423" s="34" t="s">
        <v>640</v>
      </c>
      <c r="B423" s="34" t="s">
        <v>641</v>
      </c>
      <c r="C423" s="34" t="s">
        <v>260</v>
      </c>
      <c r="D423" s="35" t="s">
        <v>12</v>
      </c>
      <c r="E423" s="36">
        <v>33423</v>
      </c>
      <c r="F423" s="37">
        <f ca="1">IF(T_CÓDIGO[[#This Row],[FECHA DE NACIMIENTO]]="","",YEAR(TODAY())-YEAR(T_CÓDIGO[[#This Row],[FECHA DE NACIMIENTO]])-IF(OR(MONTH(TODAY())&lt;MONTH(E423),AND(MONTH(TODAY())=MONTH(E423),DAY(TODAY())&lt;DAY(E423))),1,0))</f>
        <v>33</v>
      </c>
    </row>
    <row r="424" spans="1:6" x14ac:dyDescent="0.3">
      <c r="A424" s="34" t="s">
        <v>642</v>
      </c>
      <c r="B424" s="34">
        <v>1714461421</v>
      </c>
      <c r="C424" s="34" t="s">
        <v>271</v>
      </c>
      <c r="D424" s="35" t="s">
        <v>12</v>
      </c>
      <c r="E424" s="36">
        <v>28331</v>
      </c>
      <c r="F424" s="37">
        <f ca="1">IF(T_CÓDIGO[[#This Row],[FECHA DE NACIMIENTO]]="","",YEAR(TODAY())-YEAR(T_CÓDIGO[[#This Row],[FECHA DE NACIMIENTO]])-IF(OR(MONTH(TODAY())&lt;MONTH(E424),AND(MONTH(TODAY())=MONTH(E424),DAY(TODAY())&lt;DAY(E424))),1,0))</f>
        <v>47</v>
      </c>
    </row>
    <row r="425" spans="1:6" x14ac:dyDescent="0.3">
      <c r="A425" s="34" t="s">
        <v>643</v>
      </c>
      <c r="B425" s="34">
        <v>1713906012</v>
      </c>
      <c r="C425" s="34" t="s">
        <v>300</v>
      </c>
      <c r="D425" s="35" t="s">
        <v>24</v>
      </c>
      <c r="E425" s="36">
        <v>28148</v>
      </c>
      <c r="F425" s="37">
        <f ca="1">IF(T_CÓDIGO[[#This Row],[FECHA DE NACIMIENTO]]="","",YEAR(TODAY())-YEAR(T_CÓDIGO[[#This Row],[FECHA DE NACIMIENTO]])-IF(OR(MONTH(TODAY())&lt;MONTH(E425),AND(MONTH(TODAY())=MONTH(E425),DAY(TODAY())&lt;DAY(E425))),1,0))</f>
        <v>47</v>
      </c>
    </row>
    <row r="426" spans="1:6" x14ac:dyDescent="0.3">
      <c r="A426" s="34" t="s">
        <v>644</v>
      </c>
      <c r="B426" s="34" t="s">
        <v>645</v>
      </c>
      <c r="C426" s="34" t="s">
        <v>260</v>
      </c>
      <c r="D426" s="35" t="s">
        <v>12</v>
      </c>
      <c r="E426" s="36">
        <v>33984</v>
      </c>
      <c r="F426" s="37">
        <f ca="1">IF(T_CÓDIGO[[#This Row],[FECHA DE NACIMIENTO]]="","",YEAR(TODAY())-YEAR(T_CÓDIGO[[#This Row],[FECHA DE NACIMIENTO]])-IF(OR(MONTH(TODAY())&lt;MONTH(E426),AND(MONTH(TODAY())=MONTH(E426),DAY(TODAY())&lt;DAY(E426))),1,0))</f>
        <v>31</v>
      </c>
    </row>
    <row r="427" spans="1:6" x14ac:dyDescent="0.3">
      <c r="A427" s="34" t="s">
        <v>646</v>
      </c>
      <c r="B427" s="34" t="s">
        <v>647</v>
      </c>
      <c r="C427" s="34" t="s">
        <v>262</v>
      </c>
      <c r="D427" s="35" t="s">
        <v>12</v>
      </c>
      <c r="E427" s="36">
        <v>36756</v>
      </c>
      <c r="F427" s="37">
        <f ca="1">IF(T_CÓDIGO[[#This Row],[FECHA DE NACIMIENTO]]="","",YEAR(TODAY())-YEAR(T_CÓDIGO[[#This Row],[FECHA DE NACIMIENTO]])-IF(OR(MONTH(TODAY())&lt;MONTH(E427),AND(MONTH(TODAY())=MONTH(E427),DAY(TODAY())&lt;DAY(E427))),1,0))</f>
        <v>24</v>
      </c>
    </row>
    <row r="428" spans="1:6" x14ac:dyDescent="0.3">
      <c r="A428" s="34" t="s">
        <v>909</v>
      </c>
      <c r="B428" s="34" t="s">
        <v>910</v>
      </c>
      <c r="C428" s="34" t="s">
        <v>395</v>
      </c>
      <c r="D428" s="35" t="s">
        <v>24</v>
      </c>
      <c r="E428" s="36" t="s">
        <v>911</v>
      </c>
      <c r="F428" s="37">
        <f ca="1">IF(T_CÓDIGO[[#This Row],[FECHA DE NACIMIENTO]]="","",YEAR(TODAY())-YEAR(T_CÓDIGO[[#This Row],[FECHA DE NACIMIENTO]])-IF(OR(MONTH(TODAY())&lt;MONTH(E428),AND(MONTH(TODAY())=MONTH(E428),DAY(TODAY())&lt;DAY(E428))),1,0))</f>
        <v>22</v>
      </c>
    </row>
    <row r="429" spans="1:6" x14ac:dyDescent="0.3">
      <c r="A429" s="34" t="s">
        <v>912</v>
      </c>
      <c r="B429" s="34" t="s">
        <v>913</v>
      </c>
      <c r="C429" s="34" t="s">
        <v>392</v>
      </c>
      <c r="D429" s="35" t="s">
        <v>12</v>
      </c>
      <c r="E429" s="36" t="s">
        <v>914</v>
      </c>
      <c r="F429" s="37">
        <f ca="1">IF(T_CÓDIGO[[#This Row],[FECHA DE NACIMIENTO]]="","",YEAR(TODAY())-YEAR(T_CÓDIGO[[#This Row],[FECHA DE NACIMIENTO]])-IF(OR(MONTH(TODAY())&lt;MONTH(E429),AND(MONTH(TODAY())=MONTH(E429),DAY(TODAY())&lt;DAY(E429))),1,0))</f>
        <v>35</v>
      </c>
    </row>
    <row r="430" spans="1:6" x14ac:dyDescent="0.3">
      <c r="A430" s="34" t="s">
        <v>648</v>
      </c>
      <c r="B430" s="34">
        <v>6103079718</v>
      </c>
      <c r="C430" s="34" t="s">
        <v>271</v>
      </c>
      <c r="D430" s="35" t="s">
        <v>12</v>
      </c>
      <c r="E430" s="36">
        <v>29603</v>
      </c>
      <c r="F430" s="37">
        <f ca="1">IF(T_CÓDIGO[[#This Row],[FECHA DE NACIMIENTO]]="","",YEAR(TODAY())-YEAR(T_CÓDIGO[[#This Row],[FECHA DE NACIMIENTO]])-IF(OR(MONTH(TODAY())&lt;MONTH(E430),AND(MONTH(TODAY())=MONTH(E430),DAY(TODAY())&lt;DAY(E430))),1,0))</f>
        <v>43</v>
      </c>
    </row>
    <row r="431" spans="1:6" x14ac:dyDescent="0.3">
      <c r="A431" s="34" t="s">
        <v>694</v>
      </c>
      <c r="B431" s="34">
        <v>1005237225</v>
      </c>
      <c r="C431" s="34" t="s">
        <v>260</v>
      </c>
      <c r="D431" s="35" t="s">
        <v>12</v>
      </c>
      <c r="E431" s="36">
        <v>37714</v>
      </c>
      <c r="F431" s="37">
        <f ca="1">IF(T_CÓDIGO[[#This Row],[FECHA DE NACIMIENTO]]="","",YEAR(TODAY())-YEAR(T_CÓDIGO[[#This Row],[FECHA DE NACIMIENTO]])-IF(OR(MONTH(TODAY())&lt;MONTH(E431),AND(MONTH(TODAY())=MONTH(E431),DAY(TODAY())&lt;DAY(E431))),1,0))</f>
        <v>21</v>
      </c>
    </row>
    <row r="432" spans="1:6" x14ac:dyDescent="0.3">
      <c r="A432" s="34" t="s">
        <v>649</v>
      </c>
      <c r="B432" s="34" t="s">
        <v>650</v>
      </c>
      <c r="C432" s="34" t="s">
        <v>277</v>
      </c>
      <c r="D432" s="35" t="s">
        <v>12</v>
      </c>
      <c r="E432" s="36">
        <v>29312</v>
      </c>
      <c r="F432" s="37">
        <f ca="1">IF(T_CÓDIGO[[#This Row],[FECHA DE NACIMIENTO]]="","",YEAR(TODAY())-YEAR(T_CÓDIGO[[#This Row],[FECHA DE NACIMIENTO]])-IF(OR(MONTH(TODAY())&lt;MONTH(E432),AND(MONTH(TODAY())=MONTH(E432),DAY(TODAY())&lt;DAY(E432))),1,0))</f>
        <v>44</v>
      </c>
    </row>
    <row r="433" spans="1:6" x14ac:dyDescent="0.3">
      <c r="A433" s="34" t="s">
        <v>915</v>
      </c>
      <c r="B433" s="34" t="s">
        <v>651</v>
      </c>
      <c r="C433" s="34" t="s">
        <v>271</v>
      </c>
      <c r="D433" s="35" t="s">
        <v>12</v>
      </c>
      <c r="E433" s="36">
        <v>32294</v>
      </c>
      <c r="F433" s="37">
        <f ca="1">IF(T_CÓDIGO[[#This Row],[FECHA DE NACIMIENTO]]="","",YEAR(TODAY())-YEAR(T_CÓDIGO[[#This Row],[FECHA DE NACIMIENTO]])-IF(OR(MONTH(TODAY())&lt;MONTH(E433),AND(MONTH(TODAY())=MONTH(E433),DAY(TODAY())&lt;DAY(E433))),1,0))</f>
        <v>36</v>
      </c>
    </row>
    <row r="434" spans="1:6" x14ac:dyDescent="0.3">
      <c r="A434" s="34" t="s">
        <v>916</v>
      </c>
      <c r="B434" s="34">
        <v>1900801604</v>
      </c>
      <c r="C434" s="34" t="s">
        <v>260</v>
      </c>
      <c r="D434" s="35" t="s">
        <v>12</v>
      </c>
      <c r="E434" s="36">
        <v>32795</v>
      </c>
      <c r="F434" s="37">
        <f ca="1">IF(T_CÓDIGO[[#This Row],[FECHA DE NACIMIENTO]]="","",YEAR(TODAY())-YEAR(T_CÓDIGO[[#This Row],[FECHA DE NACIMIENTO]])-IF(OR(MONTH(TODAY())&lt;MONTH(E434),AND(MONTH(TODAY())=MONTH(E434),DAY(TODAY())&lt;DAY(E434))),1,0))</f>
        <v>35</v>
      </c>
    </row>
    <row r="435" spans="1:6" x14ac:dyDescent="0.3">
      <c r="A435" s="34" t="s">
        <v>652</v>
      </c>
      <c r="B435" s="34">
        <v>1900742998</v>
      </c>
      <c r="C435" s="34" t="s">
        <v>260</v>
      </c>
      <c r="D435" s="35" t="s">
        <v>12</v>
      </c>
      <c r="E435" s="36">
        <v>33208</v>
      </c>
      <c r="F435" s="37">
        <f ca="1">IF(T_CÓDIGO[[#This Row],[FECHA DE NACIMIENTO]]="","",YEAR(TODAY())-YEAR(T_CÓDIGO[[#This Row],[FECHA DE NACIMIENTO]])-IF(OR(MONTH(TODAY())&lt;MONTH(E435),AND(MONTH(TODAY())=MONTH(E435),DAY(TODAY())&lt;DAY(E435))),1,0))</f>
        <v>34</v>
      </c>
    </row>
    <row r="436" spans="1:6" x14ac:dyDescent="0.3">
      <c r="A436" s="34" t="s">
        <v>39</v>
      </c>
      <c r="B436" s="34" t="s">
        <v>653</v>
      </c>
      <c r="C436" s="34" t="s">
        <v>278</v>
      </c>
      <c r="D436" s="35" t="s">
        <v>24</v>
      </c>
      <c r="E436" s="36">
        <v>34331</v>
      </c>
      <c r="F436" s="37">
        <f ca="1">IF(T_CÓDIGO[[#This Row],[FECHA DE NACIMIENTO]]="","",YEAR(TODAY())-YEAR(T_CÓDIGO[[#This Row],[FECHA DE NACIMIENTO]])-IF(OR(MONTH(TODAY())&lt;MONTH(E436),AND(MONTH(TODAY())=MONTH(E436),DAY(TODAY())&lt;DAY(E436))),1,0))</f>
        <v>30</v>
      </c>
    </row>
    <row r="437" spans="1:6" x14ac:dyDescent="0.3">
      <c r="A437" s="34" t="s">
        <v>664</v>
      </c>
      <c r="B437" s="34" t="s">
        <v>665</v>
      </c>
      <c r="C437" s="34" t="s">
        <v>666</v>
      </c>
      <c r="D437" s="35" t="s">
        <v>12</v>
      </c>
      <c r="E437" s="36" t="s">
        <v>667</v>
      </c>
      <c r="F437" s="37">
        <f ca="1">IF(T_CÓDIGO[[#This Row],[FECHA DE NACIMIENTO]]="","",YEAR(TODAY())-YEAR(T_CÓDIGO[[#This Row],[FECHA DE NACIMIENTO]])-IF(OR(MONTH(TODAY())&lt;MONTH(E437),AND(MONTH(TODAY())=MONTH(E437),DAY(TODAY())&lt;DAY(E437))),1,0))</f>
        <v>43</v>
      </c>
    </row>
    <row r="438" spans="1:6" x14ac:dyDescent="0.3">
      <c r="A438" s="34" t="s">
        <v>654</v>
      </c>
      <c r="B438" s="34">
        <v>6105528910</v>
      </c>
      <c r="C438" s="34" t="s">
        <v>271</v>
      </c>
      <c r="D438" s="35" t="s">
        <v>12</v>
      </c>
      <c r="E438" s="36">
        <v>29999</v>
      </c>
      <c r="F438" s="37">
        <f ca="1">IF(T_CÓDIGO[[#This Row],[FECHA DE NACIMIENTO]]="","",YEAR(TODAY())-YEAR(T_CÓDIGO[[#This Row],[FECHA DE NACIMIENTO]])-IF(OR(MONTH(TODAY())&lt;MONTH(E438),AND(MONTH(TODAY())=MONTH(E438),DAY(TODAY())&lt;DAY(E438))),1,0))</f>
        <v>42</v>
      </c>
    </row>
    <row r="439" spans="1:6" x14ac:dyDescent="0.3">
      <c r="A439" s="34" t="s">
        <v>917</v>
      </c>
      <c r="B439" s="34" t="s">
        <v>918</v>
      </c>
      <c r="C439" s="34" t="s">
        <v>260</v>
      </c>
      <c r="D439" s="35" t="s">
        <v>12</v>
      </c>
      <c r="E439" s="36">
        <v>32635</v>
      </c>
      <c r="F439" s="37">
        <f ca="1">IF(T_CÓDIGO[[#This Row],[FECHA DE NACIMIENTO]]="","",YEAR(TODAY())-YEAR(T_CÓDIGO[[#This Row],[FECHA DE NACIMIENTO]])-IF(OR(MONTH(TODAY())&lt;MONTH(E439),AND(MONTH(TODAY())=MONTH(E439),DAY(TODAY())&lt;DAY(E439))),1,0))</f>
        <v>35</v>
      </c>
    </row>
    <row r="440" spans="1:6" x14ac:dyDescent="0.3">
      <c r="A440" s="34" t="s">
        <v>655</v>
      </c>
      <c r="B440" s="34">
        <v>1400890552</v>
      </c>
      <c r="C440" s="34" t="s">
        <v>260</v>
      </c>
      <c r="D440" s="35" t="s">
        <v>12</v>
      </c>
      <c r="E440" s="36">
        <v>36289</v>
      </c>
      <c r="F440" s="37">
        <f ca="1">IF(T_CÓDIGO[[#This Row],[FECHA DE NACIMIENTO]]="","",YEAR(TODAY())-YEAR(T_CÓDIGO[[#This Row],[FECHA DE NACIMIENTO]])-IF(OR(MONTH(TODAY())&lt;MONTH(E440),AND(MONTH(TODAY())=MONTH(E440),DAY(TODAY())&lt;DAY(E440))),1,0))</f>
        <v>25</v>
      </c>
    </row>
    <row r="441" spans="1:6" x14ac:dyDescent="0.3">
      <c r="A441" s="34" t="s">
        <v>919</v>
      </c>
      <c r="B441" s="34" t="s">
        <v>920</v>
      </c>
      <c r="C441" s="34" t="s">
        <v>260</v>
      </c>
      <c r="D441" s="35" t="s">
        <v>12</v>
      </c>
      <c r="E441" s="36">
        <v>35983</v>
      </c>
      <c r="F441" s="37">
        <f ca="1">IF(T_CÓDIGO[[#This Row],[FECHA DE NACIMIENTO]]="","",YEAR(TODAY())-YEAR(T_CÓDIGO[[#This Row],[FECHA DE NACIMIENTO]])-IF(OR(MONTH(TODAY())&lt;MONTH(E441),AND(MONTH(TODAY())=MONTH(E441),DAY(TODAY())&lt;DAY(E441))),1,0))</f>
        <v>26</v>
      </c>
    </row>
    <row r="442" spans="1:6" x14ac:dyDescent="0.3">
      <c r="A442" s="34" t="s">
        <v>656</v>
      </c>
      <c r="B442" s="34">
        <v>1004102826</v>
      </c>
      <c r="C442" s="34" t="s">
        <v>260</v>
      </c>
      <c r="D442" s="35" t="s">
        <v>12</v>
      </c>
      <c r="E442" s="36">
        <v>36526</v>
      </c>
      <c r="F442" s="37">
        <f ca="1">IF(T_CÓDIGO[[#This Row],[FECHA DE NACIMIENTO]]="","",YEAR(TODAY())-YEAR(T_CÓDIGO[[#This Row],[FECHA DE NACIMIENTO]])-IF(OR(MONTH(TODAY())&lt;MONTH(E442),AND(MONTH(TODAY())=MONTH(E442),DAY(TODAY())&lt;DAY(E442))),1,0))</f>
        <v>24</v>
      </c>
    </row>
    <row r="443" spans="1:6" x14ac:dyDescent="0.3">
      <c r="A443" s="34" t="s">
        <v>657</v>
      </c>
      <c r="B443" s="34">
        <v>1900514108</v>
      </c>
      <c r="C443" s="34" t="s">
        <v>260</v>
      </c>
      <c r="D443" s="35" t="s">
        <v>12</v>
      </c>
      <c r="E443" s="36">
        <v>31028</v>
      </c>
      <c r="F443" s="37">
        <f ca="1">IF(T_CÓDIGO[[#This Row],[FECHA DE NACIMIENTO]]="","",YEAR(TODAY())-YEAR(T_CÓDIGO[[#This Row],[FECHA DE NACIMIENTO]])-IF(OR(MONTH(TODAY())&lt;MONTH(E443),AND(MONTH(TODAY())=MONTH(E443),DAY(TODAY())&lt;DAY(E443))),1,0))</f>
        <v>39</v>
      </c>
    </row>
    <row r="444" spans="1:6" x14ac:dyDescent="0.3">
      <c r="A444" s="34" t="s">
        <v>658</v>
      </c>
      <c r="B444" s="34">
        <v>401254487</v>
      </c>
      <c r="C444" s="34" t="s">
        <v>276</v>
      </c>
      <c r="D444" s="35" t="s">
        <v>12</v>
      </c>
      <c r="E444" s="36">
        <v>31168</v>
      </c>
      <c r="F444" s="37">
        <f ca="1">IF(T_CÓDIGO[[#This Row],[FECHA DE NACIMIENTO]]="","",YEAR(TODAY())-YEAR(T_CÓDIGO[[#This Row],[FECHA DE NACIMIENTO]])-IF(OR(MONTH(TODAY())&lt;MONTH(E444),AND(MONTH(TODAY())=MONTH(E444),DAY(TODAY())&lt;DAY(E444))),1,0))</f>
        <v>39</v>
      </c>
    </row>
    <row r="445" spans="1:6" x14ac:dyDescent="0.3">
      <c r="A445" s="34" t="s">
        <v>659</v>
      </c>
      <c r="B445" s="34">
        <v>1004424527</v>
      </c>
      <c r="C445" s="34" t="s">
        <v>260</v>
      </c>
      <c r="D445" s="35" t="s">
        <v>12</v>
      </c>
      <c r="E445" s="36">
        <v>36247</v>
      </c>
      <c r="F445" s="37">
        <f ca="1">IF(T_CÓDIGO[[#This Row],[FECHA DE NACIMIENTO]]="","",YEAR(TODAY())-YEAR(T_CÓDIGO[[#This Row],[FECHA DE NACIMIENTO]])-IF(OR(MONTH(TODAY())&lt;MONTH(E445),AND(MONTH(TODAY())=MONTH(E445),DAY(TODAY())&lt;DAY(E445))),1,0))</f>
        <v>25</v>
      </c>
    </row>
    <row r="446" spans="1:6" x14ac:dyDescent="0.3">
      <c r="A446" s="34" t="s">
        <v>921</v>
      </c>
      <c r="B446" s="34" t="s">
        <v>922</v>
      </c>
      <c r="C446" s="34" t="s">
        <v>276</v>
      </c>
      <c r="D446" s="35" t="s">
        <v>12</v>
      </c>
      <c r="E446" s="36" t="s">
        <v>923</v>
      </c>
      <c r="F446" s="37">
        <f ca="1">IF(T_CÓDIGO[[#This Row],[FECHA DE NACIMIENTO]]="","",YEAR(TODAY())-YEAR(T_CÓDIGO[[#This Row],[FECHA DE NACIMIENTO]])-IF(OR(MONTH(TODAY())&lt;MONTH(E446),AND(MONTH(TODAY())=MONTH(E446),DAY(TODAY())&lt;DAY(E446))),1,0))</f>
        <v>40</v>
      </c>
    </row>
    <row r="447" spans="1:6" x14ac:dyDescent="0.3">
      <c r="A447" s="34" t="s">
        <v>660</v>
      </c>
      <c r="B447" s="34">
        <v>1724411846</v>
      </c>
      <c r="C447" s="34" t="s">
        <v>372</v>
      </c>
      <c r="D447" s="35" t="s">
        <v>12</v>
      </c>
      <c r="E447" s="36">
        <v>32324</v>
      </c>
      <c r="F447" s="37">
        <f ca="1">IF(T_CÓDIGO[[#This Row],[FECHA DE NACIMIENTO]]="","",YEAR(TODAY())-YEAR(T_CÓDIGO[[#This Row],[FECHA DE NACIMIENTO]])-IF(OR(MONTH(TODAY())&lt;MONTH(E447),AND(MONTH(TODAY())=MONTH(E447),DAY(TODAY())&lt;DAY(E447))),1,0))</f>
        <v>36</v>
      </c>
    </row>
    <row r="448" spans="1:6" x14ac:dyDescent="0.3">
      <c r="A448" s="34" t="s">
        <v>924</v>
      </c>
      <c r="B448" s="34" t="s">
        <v>670</v>
      </c>
      <c r="C448" s="34" t="s">
        <v>260</v>
      </c>
      <c r="D448" s="35" t="s">
        <v>12</v>
      </c>
      <c r="E448" s="36">
        <v>34467</v>
      </c>
      <c r="F448" s="37">
        <f ca="1">IF(T_CÓDIGO[[#This Row],[FECHA DE NACIMIENTO]]="","",YEAR(TODAY())-YEAR(T_CÓDIGO[[#This Row],[FECHA DE NACIMIENTO]])-IF(OR(MONTH(TODAY())&lt;MONTH(E448),AND(MONTH(TODAY())=MONTH(E448),DAY(TODAY())&lt;DAY(E448))),1,0))</f>
        <v>30</v>
      </c>
    </row>
    <row r="449" spans="1:6" x14ac:dyDescent="0.3">
      <c r="A449" s="34" t="s">
        <v>661</v>
      </c>
      <c r="B449" s="34">
        <v>1723411540</v>
      </c>
      <c r="C449" s="34" t="s">
        <v>303</v>
      </c>
      <c r="D449" s="35" t="s">
        <v>12</v>
      </c>
      <c r="E449" s="36">
        <v>34795</v>
      </c>
      <c r="F449" s="37">
        <f ca="1">IF(T_CÓDIGO[[#This Row],[FECHA DE NACIMIENTO]]="","",YEAR(TODAY())-YEAR(T_CÓDIGO[[#This Row],[FECHA DE NACIMIENTO]])-IF(OR(MONTH(TODAY())&lt;MONTH(E449),AND(MONTH(TODAY())=MONTH(E449),DAY(TODAY())&lt;DAY(E449))),1,0))</f>
        <v>29</v>
      </c>
    </row>
    <row r="450" spans="1:6" x14ac:dyDescent="0.3">
      <c r="A450" s="34" t="s">
        <v>662</v>
      </c>
      <c r="B450" s="34" t="s">
        <v>663</v>
      </c>
      <c r="C450" s="34" t="s">
        <v>262</v>
      </c>
      <c r="D450" s="35" t="s">
        <v>12</v>
      </c>
      <c r="E450" s="36">
        <v>33676</v>
      </c>
      <c r="F450" s="37">
        <f ca="1">IF(T_CÓDIGO[[#This Row],[FECHA DE NACIMIENTO]]="","",YEAR(TODAY())-YEAR(T_CÓDIGO[[#This Row],[FECHA DE NACIMIENTO]])-IF(OR(MONTH(TODAY())&lt;MONTH(E450),AND(MONTH(TODAY())=MONTH(E450),DAY(TODAY())&lt;DAY(E450))),1,0))</f>
        <v>32</v>
      </c>
    </row>
    <row r="451" spans="1:6" x14ac:dyDescent="0.3">
      <c r="A451" s="34" t="s">
        <v>123</v>
      </c>
      <c r="B451" s="34">
        <v>1401007180</v>
      </c>
      <c r="C451" s="34" t="s">
        <v>260</v>
      </c>
      <c r="D451" s="35" t="s">
        <v>12</v>
      </c>
      <c r="E451" s="36">
        <v>37030</v>
      </c>
      <c r="F451" s="37">
        <f ca="1">IF(T_CÓDIGO[[#This Row],[FECHA DE NACIMIENTO]]="","",YEAR(TODAY())-YEAR(T_CÓDIGO[[#This Row],[FECHA DE NACIMIENTO]])-IF(OR(MONTH(TODAY())&lt;MONTH(E451),AND(MONTH(TODAY())=MONTH(E451),DAY(TODAY())&lt;DAY(E451))),1,0))</f>
        <v>23</v>
      </c>
    </row>
  </sheetData>
  <mergeCells count="2">
    <mergeCell ref="A1:F1"/>
    <mergeCell ref="A2:F2"/>
  </mergeCells>
  <conditionalFormatting sqref="D4:D451">
    <cfRule type="containsText" dxfId="12" priority="1" operator="containsText" text="M">
      <formula>NOT(ISERROR(SEARCH("M",D4)))</formula>
    </cfRule>
    <cfRule type="containsText" dxfId="11" priority="2" operator="containsText" text="H">
      <formula>NOT(ISERROR(SEARCH("H",D4)))</formula>
    </cfRule>
  </conditionalFormatting>
  <conditionalFormatting sqref="F4:F451">
    <cfRule type="containsBlanks" dxfId="10" priority="3">
      <formula>LEN(TRIM(F4))=0</formula>
    </cfRule>
    <cfRule type="cellIs" dxfId="9" priority="4" stopIfTrue="1" operator="between">
      <formula>61</formula>
      <formula>65</formula>
    </cfRule>
    <cfRule type="cellIs" dxfId="8" priority="5" operator="between">
      <formula>51</formula>
      <formula>60</formula>
    </cfRule>
    <cfRule type="cellIs" dxfId="7" priority="6" operator="between">
      <formula>41</formula>
      <formula>50</formula>
    </cfRule>
    <cfRule type="cellIs" dxfId="6" priority="7" operator="between">
      <formula>18</formula>
      <formula>20</formula>
    </cfRule>
    <cfRule type="cellIs" dxfId="5" priority="8" operator="between">
      <formula>31</formula>
      <formula>40</formula>
    </cfRule>
    <cfRule type="cellIs" dxfId="4" priority="9" operator="between">
      <formula>21</formula>
      <formula>30</formula>
    </cfRule>
    <cfRule type="notContainsBlanks" dxfId="3" priority="10">
      <formula>LEN(TRIM(F4))&gt;0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1C02-39C7-4571-9052-96D1169D743A}">
  <sheetPr>
    <tabColor rgb="FFFF0000"/>
  </sheetPr>
  <dimension ref="A2:AU45"/>
  <sheetViews>
    <sheetView topLeftCell="E1" workbookViewId="0">
      <selection activeCell="AS14" sqref="AS14"/>
    </sheetView>
  </sheetViews>
  <sheetFormatPr baseColWidth="10" defaultRowHeight="14.4" x14ac:dyDescent="0.3"/>
  <cols>
    <col min="1" max="1" width="12.5546875" bestFit="1" customWidth="1"/>
    <col min="3" max="3" width="16.5546875" bestFit="1" customWidth="1"/>
    <col min="4" max="4" width="14.88671875" bestFit="1" customWidth="1"/>
    <col min="7" max="7" width="11.77734375" customWidth="1"/>
    <col min="11" max="11" width="16.5546875" bestFit="1" customWidth="1"/>
    <col min="12" max="12" width="28.44140625" bestFit="1" customWidth="1"/>
    <col min="14" max="14" width="28" customWidth="1"/>
    <col min="15" max="15" width="11.77734375" customWidth="1"/>
    <col min="19" max="19" width="16.5546875" bestFit="1" customWidth="1"/>
    <col min="20" max="20" width="24.5546875" bestFit="1" customWidth="1"/>
    <col min="26" max="26" width="16.5546875" bestFit="1" customWidth="1"/>
    <col min="27" max="27" width="26.44140625" bestFit="1" customWidth="1"/>
    <col min="29" max="29" width="35.109375" customWidth="1"/>
    <col min="30" max="30" width="11.77734375" customWidth="1"/>
    <col min="34" max="34" width="16.5546875" bestFit="1" customWidth="1"/>
    <col min="35" max="35" width="19.109375" bestFit="1" customWidth="1"/>
    <col min="37" max="37" width="17.88671875" customWidth="1"/>
    <col min="38" max="38" width="11.77734375" customWidth="1"/>
    <col min="39" max="39" width="19.33203125" customWidth="1"/>
    <col min="40" max="40" width="12.77734375" customWidth="1"/>
    <col min="42" max="42" width="13.44140625" customWidth="1"/>
    <col min="45" max="45" width="30.21875" customWidth="1"/>
  </cols>
  <sheetData>
    <row r="2" spans="1:47" x14ac:dyDescent="0.3">
      <c r="A2" t="s">
        <v>234</v>
      </c>
      <c r="C2" s="6" t="s">
        <v>235</v>
      </c>
      <c r="D2" t="s">
        <v>240</v>
      </c>
      <c r="F2" s="77" t="s">
        <v>712</v>
      </c>
      <c r="G2" s="77" t="s">
        <v>997</v>
      </c>
      <c r="H2" s="77" t="s">
        <v>998</v>
      </c>
      <c r="I2" s="77" t="s">
        <v>999</v>
      </c>
      <c r="K2" s="6" t="s">
        <v>235</v>
      </c>
      <c r="L2" t="s">
        <v>236</v>
      </c>
      <c r="N2" t="s">
        <v>1000</v>
      </c>
      <c r="O2" t="s">
        <v>997</v>
      </c>
      <c r="P2" t="s">
        <v>998</v>
      </c>
      <c r="Q2" t="s">
        <v>999</v>
      </c>
      <c r="S2" s="6" t="s">
        <v>235</v>
      </c>
      <c r="T2" t="s">
        <v>1001</v>
      </c>
      <c r="V2" s="75" t="s">
        <v>1002</v>
      </c>
      <c r="W2" s="76" t="s">
        <v>997</v>
      </c>
      <c r="X2" s="76" t="s">
        <v>998</v>
      </c>
      <c r="Z2" s="6" t="s">
        <v>235</v>
      </c>
      <c r="AA2" t="s">
        <v>237</v>
      </c>
      <c r="AC2" t="s">
        <v>959</v>
      </c>
      <c r="AD2" t="s">
        <v>997</v>
      </c>
      <c r="AE2" t="s">
        <v>998</v>
      </c>
      <c r="AF2" t="s">
        <v>999</v>
      </c>
      <c r="AH2" s="6" t="s">
        <v>235</v>
      </c>
      <c r="AI2" t="s">
        <v>238</v>
      </c>
      <c r="AK2" t="s">
        <v>9</v>
      </c>
      <c r="AL2" t="s">
        <v>997</v>
      </c>
      <c r="AM2" t="s">
        <v>1004</v>
      </c>
      <c r="AN2" t="s">
        <v>1005</v>
      </c>
      <c r="AP2" t="s">
        <v>1007</v>
      </c>
      <c r="AQ2" t="s">
        <v>1008</v>
      </c>
      <c r="AS2" s="86" t="s">
        <v>947</v>
      </c>
      <c r="AT2" s="86" t="s">
        <v>1006</v>
      </c>
      <c r="AU2" s="88"/>
    </row>
    <row r="3" spans="1:47" x14ac:dyDescent="0.3">
      <c r="A3" s="160">
        <v>866</v>
      </c>
      <c r="C3" s="7"/>
      <c r="D3" s="160">
        <v>866</v>
      </c>
      <c r="F3" s="78" t="s">
        <v>12</v>
      </c>
      <c r="G3" s="78">
        <f>IFERROR(VLOOKUP(F3,$C$3:$D$6,2,0),0)</f>
        <v>0</v>
      </c>
      <c r="H3" s="79" t="e">
        <f>G3/$G$5</f>
        <v>#DIV/0!</v>
      </c>
      <c r="I3" s="80">
        <v>1</v>
      </c>
      <c r="K3" s="7" t="s">
        <v>996</v>
      </c>
      <c r="L3" s="160"/>
      <c r="N3" s="78" t="s">
        <v>925</v>
      </c>
      <c r="O3" s="78">
        <f>IFERROR(VLOOKUP(N3,$K$3:$L$8,2,0),0)</f>
        <v>0</v>
      </c>
      <c r="P3" s="79" t="e">
        <f>O3/$O$7</f>
        <v>#DIV/0!</v>
      </c>
      <c r="Q3" s="80" t="e">
        <f>$P$7-P3</f>
        <v>#DIV/0!</v>
      </c>
      <c r="S3" s="7" t="s">
        <v>996</v>
      </c>
      <c r="T3" s="160"/>
      <c r="V3" s="82" t="s">
        <v>927</v>
      </c>
      <c r="W3" s="82">
        <f>IFERROR(VLOOKUP(V3,$S$3:$T$8,2,0),0)</f>
        <v>0</v>
      </c>
      <c r="X3" s="83" t="e">
        <f>W3/$O$7</f>
        <v>#DIV/0!</v>
      </c>
      <c r="Z3" s="7" t="s">
        <v>996</v>
      </c>
      <c r="AA3" s="160"/>
      <c r="AC3" s="82" t="s">
        <v>185</v>
      </c>
      <c r="AD3" s="78">
        <f>IFERROR(VLOOKUP(AC3,$Z$3:$AA$24,2,0),0)</f>
        <v>0</v>
      </c>
      <c r="AE3" s="25" t="e">
        <f>AD3/$AD$23</f>
        <v>#DIV/0!</v>
      </c>
      <c r="AF3" s="26" t="e">
        <f>$AE$23-AE3</f>
        <v>#DIV/0!</v>
      </c>
      <c r="AH3" s="7" t="s">
        <v>996</v>
      </c>
      <c r="AI3" s="160"/>
      <c r="AK3" s="23" t="s">
        <v>32</v>
      </c>
      <c r="AL3" s="24">
        <f>IFERROR(VLOOKUP(AK3,$AH$3:$AI$22,2,0),0)</f>
        <v>0</v>
      </c>
      <c r="AM3" s="24" t="s">
        <v>239</v>
      </c>
      <c r="AN3" s="24">
        <f>IFERROR(VLOOKUP(AK3,$AH$3:$AI$19,2,0),0)</f>
        <v>0</v>
      </c>
      <c r="AP3" t="s">
        <v>239</v>
      </c>
      <c r="AQ3">
        <f>Tabla5[[#This Row],[CANTIDAD2]]</f>
        <v>0</v>
      </c>
      <c r="AS3" s="86"/>
      <c r="AT3" s="86"/>
      <c r="AU3" s="88"/>
    </row>
    <row r="4" spans="1:47" ht="15" thickBot="1" x14ac:dyDescent="0.35">
      <c r="C4" s="7" t="s">
        <v>243</v>
      </c>
      <c r="D4" s="160">
        <v>866</v>
      </c>
      <c r="F4" s="78" t="s">
        <v>24</v>
      </c>
      <c r="G4" s="78">
        <f>IFERROR(VLOOKUP(F4,$C$3:$D$6,2,0),0)</f>
        <v>0</v>
      </c>
      <c r="H4" s="79" t="e">
        <f>G4/$G$5</f>
        <v>#DIV/0!</v>
      </c>
      <c r="I4" s="80">
        <v>1</v>
      </c>
      <c r="K4" s="7" t="s">
        <v>243</v>
      </c>
      <c r="L4" s="160"/>
      <c r="N4" s="78" t="s">
        <v>231</v>
      </c>
      <c r="O4" s="78">
        <f>IFERROR(VLOOKUP(N4,$K$3:$L$8,2,0),0)</f>
        <v>0</v>
      </c>
      <c r="P4" s="79" t="e">
        <f>O4/$O$7</f>
        <v>#DIV/0!</v>
      </c>
      <c r="Q4" s="80" t="e">
        <f>$P$7-P4</f>
        <v>#DIV/0!</v>
      </c>
      <c r="S4" s="7" t="s">
        <v>243</v>
      </c>
      <c r="T4" s="160"/>
      <c r="V4" s="78" t="s">
        <v>926</v>
      </c>
      <c r="W4" s="82">
        <f>IFERROR(VLOOKUP(V4,$S$3:$T$8,2,0),0)</f>
        <v>0</v>
      </c>
      <c r="X4" s="79" t="e">
        <f>W4/$O$7</f>
        <v>#DIV/0!</v>
      </c>
      <c r="Z4" s="7" t="s">
        <v>243</v>
      </c>
      <c r="AA4" s="160"/>
      <c r="AC4" s="78" t="s">
        <v>186</v>
      </c>
      <c r="AD4" s="78">
        <f t="shared" ref="AD4:AD22" si="0">IFERROR(VLOOKUP(AC4,$Z$3:$AA$24,2,0),0)</f>
        <v>0</v>
      </c>
      <c r="AE4" s="25" t="e">
        <f t="shared" ref="AE4:AE22" si="1">AD4/$AD$23</f>
        <v>#DIV/0!</v>
      </c>
      <c r="AF4" s="26" t="e">
        <f t="shared" ref="AF4:AF22" si="2">$AE$23-AE4</f>
        <v>#DIV/0!</v>
      </c>
      <c r="AH4" s="7" t="s">
        <v>243</v>
      </c>
      <c r="AI4" s="160"/>
      <c r="AK4" s="23" t="s">
        <v>248</v>
      </c>
      <c r="AL4" s="24">
        <f t="shared" ref="AL4:AL13" si="3">IFERROR(VLOOKUP(AK4,$AH$3:$AI$22,2,0),0)</f>
        <v>0</v>
      </c>
      <c r="AM4" s="24" t="s">
        <v>249</v>
      </c>
      <c r="AN4" s="24">
        <f t="shared" ref="AN4:AN13" si="4">IFERROR(VLOOKUP(AK4,$AH$3:$AI$19,2,0),0)</f>
        <v>0</v>
      </c>
      <c r="AP4" t="s">
        <v>249</v>
      </c>
      <c r="AQ4">
        <f>Tabla5[[#This Row],[CANTIDAD2]]</f>
        <v>0</v>
      </c>
      <c r="AS4" s="87"/>
      <c r="AT4" s="87"/>
      <c r="AU4" s="89"/>
    </row>
    <row r="5" spans="1:47" ht="15" thickBot="1" x14ac:dyDescent="0.35">
      <c r="F5" s="78" t="s">
        <v>178</v>
      </c>
      <c r="G5" s="78">
        <f>SUM(G3:G4)</f>
        <v>0</v>
      </c>
      <c r="H5" s="80" t="e">
        <f>SUM(H3:H4)</f>
        <v>#DIV/0!</v>
      </c>
      <c r="I5" s="77"/>
      <c r="N5" s="78" t="s">
        <v>91</v>
      </c>
      <c r="O5" s="78">
        <f>IFERROR(VLOOKUP(N5,$K$3:$L$8,2,0),0)</f>
        <v>0</v>
      </c>
      <c r="P5" s="79" t="e">
        <f>O5/$O$7</f>
        <v>#DIV/0!</v>
      </c>
      <c r="Q5" s="80" t="e">
        <f>$P$7-P5</f>
        <v>#DIV/0!</v>
      </c>
      <c r="V5" s="81" t="s">
        <v>178</v>
      </c>
      <c r="W5" s="82">
        <f>SUM(W3:W4)</f>
        <v>0</v>
      </c>
      <c r="X5" s="83" t="e">
        <f>W5/$O$7</f>
        <v>#DIV/0!</v>
      </c>
      <c r="AC5" s="82" t="s">
        <v>94</v>
      </c>
      <c r="AD5" s="78">
        <f t="shared" si="0"/>
        <v>0</v>
      </c>
      <c r="AE5" s="25" t="e">
        <f t="shared" si="1"/>
        <v>#DIV/0!</v>
      </c>
      <c r="AF5" s="26" t="e">
        <f t="shared" si="2"/>
        <v>#DIV/0!</v>
      </c>
      <c r="AK5" s="23" t="s">
        <v>241</v>
      </c>
      <c r="AL5" s="24">
        <f t="shared" si="3"/>
        <v>0</v>
      </c>
      <c r="AM5" s="24" t="s">
        <v>242</v>
      </c>
      <c r="AN5" s="24">
        <f t="shared" si="4"/>
        <v>0</v>
      </c>
      <c r="AP5" t="s">
        <v>242</v>
      </c>
      <c r="AQ5">
        <f>SUM(AN5:AN8)</f>
        <v>0</v>
      </c>
      <c r="AS5" s="67" t="s">
        <v>965</v>
      </c>
      <c r="AT5" s="30">
        <f ca="1">'KARDEX MED E INS. MED'!BD11</f>
        <v>0</v>
      </c>
      <c r="AU5" s="62">
        <f ca="1">'KARDEX MED E INS. MED'!BE11</f>
        <v>0</v>
      </c>
    </row>
    <row r="6" spans="1:47" ht="15" thickBot="1" x14ac:dyDescent="0.35">
      <c r="N6" s="78" t="s">
        <v>232</v>
      </c>
      <c r="O6" s="78">
        <f>IFERROR(VLOOKUP(N6,$K$3:$L$8,2,0),0)</f>
        <v>0</v>
      </c>
      <c r="P6" s="79" t="e">
        <f>O6/$O$7</f>
        <v>#DIV/0!</v>
      </c>
      <c r="Q6" s="80" t="e">
        <f>$P$7-P6</f>
        <v>#DIV/0!</v>
      </c>
      <c r="AC6" s="78" t="s">
        <v>50</v>
      </c>
      <c r="AD6" s="78">
        <f t="shared" si="0"/>
        <v>0</v>
      </c>
      <c r="AE6" s="25" t="e">
        <f t="shared" si="1"/>
        <v>#DIV/0!</v>
      </c>
      <c r="AF6" s="26" t="e">
        <f t="shared" si="2"/>
        <v>#DIV/0!</v>
      </c>
      <c r="AK6" s="23" t="s">
        <v>252</v>
      </c>
      <c r="AL6" s="24">
        <f t="shared" si="3"/>
        <v>0</v>
      </c>
      <c r="AM6" s="24" t="s">
        <v>242</v>
      </c>
      <c r="AN6" s="24">
        <f t="shared" si="4"/>
        <v>0</v>
      </c>
      <c r="AP6" t="s">
        <v>245</v>
      </c>
      <c r="AQ6">
        <f>SUM(AN10:AN11)</f>
        <v>0</v>
      </c>
      <c r="AS6" s="67" t="s">
        <v>965</v>
      </c>
      <c r="AT6" s="30">
        <f>'KARDEX MED E INS. MED'!BD12</f>
        <v>0</v>
      </c>
      <c r="AU6" s="62">
        <f ca="1">'KARDEX MED E INS. MED'!BE12</f>
        <v>0</v>
      </c>
    </row>
    <row r="7" spans="1:47" ht="15" thickBot="1" x14ac:dyDescent="0.35">
      <c r="N7" s="78" t="s">
        <v>178</v>
      </c>
      <c r="O7" s="78">
        <f>SUM(O3:O6)</f>
        <v>0</v>
      </c>
      <c r="P7" s="80" t="e">
        <f>SUM(P3:P6)</f>
        <v>#DIV/0!</v>
      </c>
      <c r="Q7" s="77"/>
      <c r="AC7" s="82" t="s">
        <v>187</v>
      </c>
      <c r="AD7" s="78">
        <f t="shared" si="0"/>
        <v>0</v>
      </c>
      <c r="AE7" s="25" t="e">
        <f t="shared" si="1"/>
        <v>#DIV/0!</v>
      </c>
      <c r="AF7" s="26" t="e">
        <f t="shared" si="2"/>
        <v>#DIV/0!</v>
      </c>
      <c r="AK7" s="23" t="s">
        <v>1003</v>
      </c>
      <c r="AL7" s="24">
        <f t="shared" si="3"/>
        <v>0</v>
      </c>
      <c r="AM7" s="24" t="s">
        <v>242</v>
      </c>
      <c r="AN7" s="24">
        <f t="shared" si="4"/>
        <v>0</v>
      </c>
      <c r="AP7" t="s">
        <v>247</v>
      </c>
      <c r="AQ7">
        <f>SUM(AN12:AN13)</f>
        <v>0</v>
      </c>
      <c r="AS7" s="67" t="s">
        <v>211</v>
      </c>
      <c r="AT7" s="30">
        <f>'KARDEX MED E INS. MED'!BD13</f>
        <v>0</v>
      </c>
      <c r="AU7" s="62">
        <f ca="1">'KARDEX MED E INS. MED'!BE13</f>
        <v>0</v>
      </c>
    </row>
    <row r="8" spans="1:47" ht="15" thickBot="1" x14ac:dyDescent="0.35">
      <c r="AC8" s="78" t="s">
        <v>46</v>
      </c>
      <c r="AD8" s="78">
        <f t="shared" si="0"/>
        <v>0</v>
      </c>
      <c r="AE8" s="25" t="e">
        <f t="shared" si="1"/>
        <v>#DIV/0!</v>
      </c>
      <c r="AF8" s="26" t="e">
        <f t="shared" si="2"/>
        <v>#DIV/0!</v>
      </c>
      <c r="AK8" s="23" t="s">
        <v>251</v>
      </c>
      <c r="AL8" s="24">
        <f t="shared" si="3"/>
        <v>0</v>
      </c>
      <c r="AM8" s="24" t="s">
        <v>242</v>
      </c>
      <c r="AN8" s="24">
        <f t="shared" si="4"/>
        <v>0</v>
      </c>
      <c r="AS8" s="67" t="s">
        <v>985</v>
      </c>
      <c r="AT8" s="30">
        <f>'KARDEX MED E INS. MED'!BD14</f>
        <v>0</v>
      </c>
      <c r="AU8" s="62">
        <f ca="1">'KARDEX MED E INS. MED'!BE14</f>
        <v>0</v>
      </c>
    </row>
    <row r="9" spans="1:47" ht="15" thickBot="1" x14ac:dyDescent="0.35">
      <c r="AC9" s="82" t="s">
        <v>36</v>
      </c>
      <c r="AD9" s="78">
        <f t="shared" si="0"/>
        <v>0</v>
      </c>
      <c r="AE9" s="25" t="e">
        <f t="shared" si="1"/>
        <v>#DIV/0!</v>
      </c>
      <c r="AF9" s="26" t="e">
        <f t="shared" si="2"/>
        <v>#DIV/0!</v>
      </c>
      <c r="AK9" s="23" t="s">
        <v>15</v>
      </c>
      <c r="AL9" s="24">
        <f t="shared" si="3"/>
        <v>0</v>
      </c>
      <c r="AM9" s="24" t="s">
        <v>245</v>
      </c>
      <c r="AN9" s="24">
        <f t="shared" si="4"/>
        <v>0</v>
      </c>
      <c r="AS9" s="67" t="s">
        <v>963</v>
      </c>
      <c r="AT9" s="30">
        <f>'KARDEX MED E INS. MED'!BD15</f>
        <v>0</v>
      </c>
      <c r="AU9" s="62">
        <f ca="1">'KARDEX MED E INS. MED'!BE15</f>
        <v>0</v>
      </c>
    </row>
    <row r="10" spans="1:47" ht="15" thickBot="1" x14ac:dyDescent="0.35">
      <c r="AC10" s="78" t="s">
        <v>92</v>
      </c>
      <c r="AD10" s="78">
        <f t="shared" si="0"/>
        <v>0</v>
      </c>
      <c r="AE10" s="25" t="e">
        <f t="shared" si="1"/>
        <v>#DIV/0!</v>
      </c>
      <c r="AF10" s="26" t="e">
        <f t="shared" si="2"/>
        <v>#DIV/0!</v>
      </c>
      <c r="AK10" s="23" t="s">
        <v>246</v>
      </c>
      <c r="AL10" s="24">
        <f t="shared" si="3"/>
        <v>0</v>
      </c>
      <c r="AM10" s="24" t="s">
        <v>245</v>
      </c>
      <c r="AN10" s="24">
        <f t="shared" si="4"/>
        <v>0</v>
      </c>
      <c r="AS10" s="67" t="s">
        <v>228</v>
      </c>
      <c r="AT10" s="30">
        <f>'KARDEX MED E INS. MED'!BD16</f>
        <v>0</v>
      </c>
      <c r="AU10" s="62">
        <f ca="1">'KARDEX MED E INS. MED'!BE16</f>
        <v>0</v>
      </c>
    </row>
    <row r="11" spans="1:47" ht="15" thickBot="1" x14ac:dyDescent="0.35">
      <c r="AC11" s="82" t="s">
        <v>233</v>
      </c>
      <c r="AD11" s="78">
        <f t="shared" si="0"/>
        <v>0</v>
      </c>
      <c r="AE11" s="25" t="e">
        <f t="shared" si="1"/>
        <v>#DIV/0!</v>
      </c>
      <c r="AF11" s="26" t="e">
        <f t="shared" si="2"/>
        <v>#DIV/0!</v>
      </c>
      <c r="AK11" s="23" t="s">
        <v>250</v>
      </c>
      <c r="AL11" s="24">
        <f t="shared" si="3"/>
        <v>0</v>
      </c>
      <c r="AM11" s="24" t="s">
        <v>245</v>
      </c>
      <c r="AN11" s="24">
        <f t="shared" si="4"/>
        <v>0</v>
      </c>
      <c r="AS11" s="67" t="s">
        <v>968</v>
      </c>
      <c r="AT11" s="30">
        <f>'KARDEX MED E INS. MED'!BD17</f>
        <v>0</v>
      </c>
      <c r="AU11" s="62">
        <f ca="1">'KARDEX MED E INS. MED'!BE17</f>
        <v>0</v>
      </c>
    </row>
    <row r="12" spans="1:47" ht="15" thickBot="1" x14ac:dyDescent="0.35">
      <c r="AC12" s="78" t="s">
        <v>97</v>
      </c>
      <c r="AD12" s="78">
        <f t="shared" si="0"/>
        <v>0</v>
      </c>
      <c r="AE12" s="25" t="e">
        <f t="shared" si="1"/>
        <v>#DIV/0!</v>
      </c>
      <c r="AF12" s="26" t="e">
        <f t="shared" si="2"/>
        <v>#DIV/0!</v>
      </c>
      <c r="AK12" s="23" t="s">
        <v>85</v>
      </c>
      <c r="AL12" s="24">
        <f t="shared" si="3"/>
        <v>0</v>
      </c>
      <c r="AM12" s="24" t="s">
        <v>247</v>
      </c>
      <c r="AN12" s="24">
        <f t="shared" si="4"/>
        <v>0</v>
      </c>
      <c r="AS12" s="67" t="s">
        <v>220</v>
      </c>
      <c r="AT12" s="30">
        <f>'KARDEX MED E INS. MED'!BD18</f>
        <v>0</v>
      </c>
      <c r="AU12" s="62">
        <f ca="1">'KARDEX MED E INS. MED'!BE18</f>
        <v>0</v>
      </c>
    </row>
    <row r="13" spans="1:47" ht="15" thickBot="1" x14ac:dyDescent="0.35">
      <c r="AC13" s="82" t="s">
        <v>21</v>
      </c>
      <c r="AD13" s="78">
        <f t="shared" si="0"/>
        <v>0</v>
      </c>
      <c r="AE13" s="25" t="e">
        <f t="shared" si="1"/>
        <v>#DIV/0!</v>
      </c>
      <c r="AF13" s="26" t="e">
        <f t="shared" si="2"/>
        <v>#DIV/0!</v>
      </c>
      <c r="AK13" s="23" t="s">
        <v>29</v>
      </c>
      <c r="AL13" s="24">
        <f t="shared" si="3"/>
        <v>0</v>
      </c>
      <c r="AM13" s="24" t="s">
        <v>247</v>
      </c>
      <c r="AN13" s="24">
        <f t="shared" si="4"/>
        <v>0</v>
      </c>
      <c r="AS13" s="67" t="s">
        <v>962</v>
      </c>
      <c r="AT13" s="30">
        <f>'KARDEX MED E INS. MED'!BD19</f>
        <v>0</v>
      </c>
      <c r="AU13" s="62">
        <f ca="1">'KARDEX MED E INS. MED'!BE19</f>
        <v>0</v>
      </c>
    </row>
    <row r="14" spans="1:47" ht="15" thickBot="1" x14ac:dyDescent="0.35">
      <c r="AC14" s="78" t="s">
        <v>23</v>
      </c>
      <c r="AD14" s="78">
        <f t="shared" si="0"/>
        <v>0</v>
      </c>
      <c r="AE14" s="25" t="e">
        <f t="shared" si="1"/>
        <v>#DIV/0!</v>
      </c>
      <c r="AF14" s="26" t="e">
        <f t="shared" si="2"/>
        <v>#DIV/0!</v>
      </c>
      <c r="AK14" s="84" t="s">
        <v>178</v>
      </c>
      <c r="AL14" s="85">
        <f>SUM(AL3:AL13)</f>
        <v>0</v>
      </c>
      <c r="AM14" s="85"/>
      <c r="AN14" s="85">
        <f>SUM(AN3:AN13)</f>
        <v>0</v>
      </c>
      <c r="AS14" s="67" t="s">
        <v>966</v>
      </c>
      <c r="AT14" s="30">
        <f>'KARDEX MED E INS. MED'!BD20</f>
        <v>0</v>
      </c>
      <c r="AU14" s="62">
        <f ca="1">'KARDEX MED E INS. MED'!BE20</f>
        <v>0</v>
      </c>
    </row>
    <row r="15" spans="1:47" ht="15" thickBot="1" x14ac:dyDescent="0.35">
      <c r="AC15" s="82" t="s">
        <v>57</v>
      </c>
      <c r="AD15" s="78">
        <f t="shared" si="0"/>
        <v>0</v>
      </c>
      <c r="AE15" s="25" t="e">
        <f t="shared" si="1"/>
        <v>#DIV/0!</v>
      </c>
      <c r="AF15" s="26" t="e">
        <f t="shared" si="2"/>
        <v>#DIV/0!</v>
      </c>
      <c r="AS15" s="67" t="s">
        <v>194</v>
      </c>
      <c r="AT15" s="30">
        <f>'KARDEX MED E INS. MED'!BD21</f>
        <v>0</v>
      </c>
      <c r="AU15" s="62">
        <f ca="1">'KARDEX MED E INS. MED'!BE21</f>
        <v>0</v>
      </c>
    </row>
    <row r="16" spans="1:47" ht="15" thickBot="1" x14ac:dyDescent="0.35">
      <c r="AC16" s="78" t="s">
        <v>66</v>
      </c>
      <c r="AD16" s="78">
        <f t="shared" si="0"/>
        <v>0</v>
      </c>
      <c r="AE16" s="25" t="e">
        <f t="shared" si="1"/>
        <v>#DIV/0!</v>
      </c>
      <c r="AF16" s="26" t="e">
        <f t="shared" si="2"/>
        <v>#DIV/0!</v>
      </c>
      <c r="AS16" s="67" t="s">
        <v>200</v>
      </c>
      <c r="AT16" s="30">
        <f>'KARDEX MED E INS. MED'!BD22</f>
        <v>0</v>
      </c>
      <c r="AU16" s="62">
        <f ca="1">'KARDEX MED E INS. MED'!BE22</f>
        <v>0</v>
      </c>
    </row>
    <row r="17" spans="29:47" ht="15" thickBot="1" x14ac:dyDescent="0.35">
      <c r="AC17" s="82" t="s">
        <v>189</v>
      </c>
      <c r="AD17" s="78">
        <f t="shared" si="0"/>
        <v>0</v>
      </c>
      <c r="AE17" s="25" t="e">
        <f t="shared" si="1"/>
        <v>#DIV/0!</v>
      </c>
      <c r="AF17" s="26" t="e">
        <f t="shared" si="2"/>
        <v>#DIV/0!</v>
      </c>
      <c r="AS17" s="67" t="s">
        <v>972</v>
      </c>
      <c r="AT17" s="30">
        <f>'KARDEX MED E INS. MED'!BD23</f>
        <v>0</v>
      </c>
      <c r="AU17" s="62">
        <f ca="1">'KARDEX MED E INS. MED'!BE23</f>
        <v>0</v>
      </c>
    </row>
    <row r="18" spans="29:47" ht="15" thickBot="1" x14ac:dyDescent="0.35">
      <c r="AC18" s="78" t="s">
        <v>14</v>
      </c>
      <c r="AD18" s="78">
        <f t="shared" si="0"/>
        <v>0</v>
      </c>
      <c r="AE18" s="25" t="e">
        <f t="shared" si="1"/>
        <v>#DIV/0!</v>
      </c>
      <c r="AF18" s="26" t="e">
        <f t="shared" si="2"/>
        <v>#DIV/0!</v>
      </c>
      <c r="AS18" s="67" t="s">
        <v>212</v>
      </c>
      <c r="AT18" s="30">
        <f>'KARDEX MED E INS. MED'!BD24</f>
        <v>0</v>
      </c>
      <c r="AU18" s="62">
        <f ca="1">'KARDEX MED E INS. MED'!BE24</f>
        <v>0</v>
      </c>
    </row>
    <row r="19" spans="29:47" ht="15" thickBot="1" x14ac:dyDescent="0.35">
      <c r="AC19" s="82" t="s">
        <v>72</v>
      </c>
      <c r="AD19" s="78">
        <f t="shared" si="0"/>
        <v>0</v>
      </c>
      <c r="AE19" s="25" t="e">
        <f t="shared" si="1"/>
        <v>#DIV/0!</v>
      </c>
      <c r="AF19" s="26" t="e">
        <f t="shared" si="2"/>
        <v>#DIV/0!</v>
      </c>
      <c r="AS19" s="67" t="s">
        <v>204</v>
      </c>
      <c r="AT19" s="30">
        <f>'KARDEX MED E INS. MED'!BD25</f>
        <v>0</v>
      </c>
      <c r="AU19" s="62">
        <f ca="1">'KARDEX MED E INS. MED'!BE25</f>
        <v>0</v>
      </c>
    </row>
    <row r="20" spans="29:47" ht="15" thickBot="1" x14ac:dyDescent="0.35">
      <c r="AC20" s="78" t="s">
        <v>118</v>
      </c>
      <c r="AD20" s="78">
        <f t="shared" si="0"/>
        <v>0</v>
      </c>
      <c r="AE20" s="25" t="e">
        <f t="shared" si="1"/>
        <v>#DIV/0!</v>
      </c>
      <c r="AF20" s="26" t="e">
        <f t="shared" si="2"/>
        <v>#DIV/0!</v>
      </c>
      <c r="AS20" s="67" t="s">
        <v>973</v>
      </c>
      <c r="AT20" s="30">
        <f>'KARDEX MED E INS. MED'!BD26</f>
        <v>0</v>
      </c>
      <c r="AU20" s="62">
        <f ca="1">'KARDEX MED E INS. MED'!BE26</f>
        <v>0</v>
      </c>
    </row>
    <row r="21" spans="29:47" ht="15" thickBot="1" x14ac:dyDescent="0.35">
      <c r="AC21" s="82" t="s">
        <v>190</v>
      </c>
      <c r="AD21" s="78">
        <f t="shared" si="0"/>
        <v>0</v>
      </c>
      <c r="AE21" s="25" t="e">
        <f t="shared" si="1"/>
        <v>#DIV/0!</v>
      </c>
      <c r="AF21" s="26" t="e">
        <f t="shared" si="2"/>
        <v>#DIV/0!</v>
      </c>
      <c r="AS21" s="67" t="s">
        <v>218</v>
      </c>
      <c r="AT21" s="30">
        <f>'KARDEX MED E INS. MED'!BD27</f>
        <v>0</v>
      </c>
      <c r="AU21" s="62">
        <f ca="1">'KARDEX MED E INS. MED'!BE27</f>
        <v>0</v>
      </c>
    </row>
    <row r="22" spans="29:47" ht="15" thickBot="1" x14ac:dyDescent="0.35">
      <c r="AC22" s="78" t="s">
        <v>31</v>
      </c>
      <c r="AD22" s="78">
        <f t="shared" si="0"/>
        <v>0</v>
      </c>
      <c r="AE22" s="25" t="e">
        <f t="shared" si="1"/>
        <v>#DIV/0!</v>
      </c>
      <c r="AF22" s="26" t="e">
        <f t="shared" si="2"/>
        <v>#DIV/0!</v>
      </c>
      <c r="AS22" s="67" t="s">
        <v>974</v>
      </c>
      <c r="AT22" s="30">
        <f>'KARDEX MED E INS. MED'!BD28</f>
        <v>0</v>
      </c>
      <c r="AU22" s="62">
        <f ca="1">'KARDEX MED E INS. MED'!BE28</f>
        <v>0</v>
      </c>
    </row>
    <row r="23" spans="29:47" ht="15" thickBot="1" x14ac:dyDescent="0.35">
      <c r="AC23" s="82" t="s">
        <v>178</v>
      </c>
      <c r="AD23" s="24">
        <f>SUM(AD3:AD22)</f>
        <v>0</v>
      </c>
      <c r="AE23" s="26" t="e">
        <f>SUM(AE3:AE22)</f>
        <v>#DIV/0!</v>
      </c>
      <c r="AS23" s="67" t="s">
        <v>221</v>
      </c>
      <c r="AT23" s="30">
        <f>'KARDEX MED E INS. MED'!BD29</f>
        <v>0</v>
      </c>
      <c r="AU23" s="62">
        <f ca="1">'KARDEX MED E INS. MED'!BE29</f>
        <v>0</v>
      </c>
    </row>
    <row r="24" spans="29:47" ht="15" thickBot="1" x14ac:dyDescent="0.35">
      <c r="AS24" s="67" t="s">
        <v>223</v>
      </c>
      <c r="AT24" s="30">
        <f>'KARDEX MED E INS. MED'!BD30</f>
        <v>0</v>
      </c>
      <c r="AU24" s="62">
        <f ca="1">'KARDEX MED E INS. MED'!BE30</f>
        <v>0</v>
      </c>
    </row>
    <row r="25" spans="29:47" ht="15" thickBot="1" x14ac:dyDescent="0.35">
      <c r="AS25" s="67" t="s">
        <v>205</v>
      </c>
      <c r="AT25" s="30">
        <f>'KARDEX MED E INS. MED'!BD31</f>
        <v>0</v>
      </c>
      <c r="AU25" s="62">
        <f ca="1">'KARDEX MED E INS. MED'!BE31</f>
        <v>0</v>
      </c>
    </row>
    <row r="26" spans="29:47" ht="15" thickBot="1" x14ac:dyDescent="0.35">
      <c r="AS26" s="67" t="s">
        <v>209</v>
      </c>
      <c r="AT26" s="30">
        <f>'KARDEX MED E INS. MED'!BD32</f>
        <v>0</v>
      </c>
      <c r="AU26" s="62">
        <f ca="1">'KARDEX MED E INS. MED'!BE32</f>
        <v>0</v>
      </c>
    </row>
    <row r="27" spans="29:47" ht="15" thickBot="1" x14ac:dyDescent="0.35">
      <c r="AS27" s="67" t="s">
        <v>207</v>
      </c>
      <c r="AT27" s="30">
        <f>'KARDEX MED E INS. MED'!BD33</f>
        <v>0</v>
      </c>
      <c r="AU27" s="62">
        <f ca="1">'KARDEX MED E INS. MED'!BE33</f>
        <v>0</v>
      </c>
    </row>
    <row r="28" spans="29:47" ht="15" thickBot="1" x14ac:dyDescent="0.35">
      <c r="AS28" s="67" t="s">
        <v>982</v>
      </c>
      <c r="AT28" s="30">
        <f>'KARDEX MED E INS. MED'!BD34</f>
        <v>0</v>
      </c>
      <c r="AU28" s="62">
        <f ca="1">'KARDEX MED E INS. MED'!BE34</f>
        <v>0</v>
      </c>
    </row>
    <row r="29" spans="29:47" ht="15" thickBot="1" x14ac:dyDescent="0.35">
      <c r="AS29" s="67" t="s">
        <v>216</v>
      </c>
      <c r="AT29" s="30">
        <f>'KARDEX MED E INS. MED'!BD35</f>
        <v>0</v>
      </c>
      <c r="AU29" s="62">
        <f ca="1">'KARDEX MED E INS. MED'!BE35</f>
        <v>0</v>
      </c>
    </row>
    <row r="30" spans="29:47" ht="15" thickBot="1" x14ac:dyDescent="0.35">
      <c r="AS30" s="67" t="s">
        <v>217</v>
      </c>
      <c r="AT30" s="30">
        <f>'KARDEX MED E INS. MED'!BD36</f>
        <v>0</v>
      </c>
      <c r="AU30" s="62">
        <f ca="1">'KARDEX MED E INS. MED'!BE36</f>
        <v>0</v>
      </c>
    </row>
    <row r="31" spans="29:47" ht="15" thickBot="1" x14ac:dyDescent="0.35">
      <c r="AS31" s="67" t="s">
        <v>225</v>
      </c>
      <c r="AT31" s="30">
        <f>'KARDEX MED E INS. MED'!BD37</f>
        <v>0</v>
      </c>
      <c r="AU31" s="62">
        <f ca="1">'KARDEX MED E INS. MED'!BE37</f>
        <v>0</v>
      </c>
    </row>
    <row r="32" spans="29:47" ht="15" thickBot="1" x14ac:dyDescent="0.35">
      <c r="AS32" s="67" t="s">
        <v>222</v>
      </c>
      <c r="AT32" s="30">
        <f>'KARDEX MED E INS. MED'!BD38</f>
        <v>0</v>
      </c>
      <c r="AU32" s="62">
        <f ca="1">'KARDEX MED E INS. MED'!BE38</f>
        <v>0</v>
      </c>
    </row>
    <row r="33" spans="45:47" ht="15" thickBot="1" x14ac:dyDescent="0.35">
      <c r="AS33" s="67" t="s">
        <v>202</v>
      </c>
      <c r="AT33" s="30">
        <f>'KARDEX MED E INS. MED'!BD39</f>
        <v>0</v>
      </c>
      <c r="AU33" s="62">
        <f ca="1">'KARDEX MED E INS. MED'!BE39</f>
        <v>0</v>
      </c>
    </row>
    <row r="34" spans="45:47" ht="15" thickBot="1" x14ac:dyDescent="0.35">
      <c r="AS34" s="67" t="s">
        <v>214</v>
      </c>
      <c r="AT34" s="30">
        <f>'KARDEX MED E INS. MED'!BD40</f>
        <v>0</v>
      </c>
      <c r="AU34" s="62">
        <f ca="1">'KARDEX MED E INS. MED'!BE40</f>
        <v>0</v>
      </c>
    </row>
    <row r="35" spans="45:47" ht="15" thickBot="1" x14ac:dyDescent="0.35">
      <c r="AS35" s="67" t="s">
        <v>993</v>
      </c>
      <c r="AT35" s="30">
        <f>'KARDEX MED E INS. MED'!BD41</f>
        <v>0</v>
      </c>
      <c r="AU35" s="62">
        <f ca="1">'KARDEX MED E INS. MED'!BE41</f>
        <v>0</v>
      </c>
    </row>
    <row r="36" spans="45:47" ht="15" thickBot="1" x14ac:dyDescent="0.35">
      <c r="AS36" s="67" t="s">
        <v>990</v>
      </c>
      <c r="AT36" s="30">
        <f>'KARDEX MED E INS. MED'!BD42</f>
        <v>0</v>
      </c>
      <c r="AU36" s="62">
        <f ca="1">'KARDEX MED E INS. MED'!BE42</f>
        <v>0</v>
      </c>
    </row>
    <row r="37" spans="45:47" ht="15" thickBot="1" x14ac:dyDescent="0.35">
      <c r="AS37" s="67" t="s">
        <v>196</v>
      </c>
      <c r="AT37" s="30">
        <f>'KARDEX MED E INS. MED'!BD43</f>
        <v>0</v>
      </c>
      <c r="AU37" s="62">
        <f ca="1">'KARDEX MED E INS. MED'!BE43</f>
        <v>0</v>
      </c>
    </row>
    <row r="38" spans="45:47" ht="15" thickBot="1" x14ac:dyDescent="0.35">
      <c r="AS38" s="67" t="s">
        <v>215</v>
      </c>
      <c r="AT38" s="30">
        <f>'KARDEX MED E INS. MED'!BD44</f>
        <v>0</v>
      </c>
      <c r="AU38" s="62">
        <f ca="1">'KARDEX MED E INS. MED'!BE44</f>
        <v>0</v>
      </c>
    </row>
    <row r="39" spans="45:47" ht="15" thickBot="1" x14ac:dyDescent="0.35">
      <c r="AS39" s="67" t="s">
        <v>226</v>
      </c>
      <c r="AT39" s="30">
        <f>'KARDEX MED E INS. MED'!BD45</f>
        <v>0</v>
      </c>
      <c r="AU39" s="62">
        <f ca="1">'KARDEX MED E INS. MED'!BE45</f>
        <v>0</v>
      </c>
    </row>
    <row r="40" spans="45:47" ht="15" thickBot="1" x14ac:dyDescent="0.35">
      <c r="AS40" s="67"/>
      <c r="AT40" s="30">
        <f>'KARDEX MED E INS. MED'!BD46</f>
        <v>0</v>
      </c>
      <c r="AU40" s="62">
        <f ca="1">'KARDEX MED E INS. MED'!BE46</f>
        <v>0</v>
      </c>
    </row>
    <row r="41" spans="45:47" ht="15" thickBot="1" x14ac:dyDescent="0.35">
      <c r="AS41" s="67"/>
      <c r="AT41" s="30">
        <f>'KARDEX MED E INS. MED'!BD47</f>
        <v>0</v>
      </c>
      <c r="AU41" s="62">
        <f ca="1">'KARDEX MED E INS. MED'!BE47</f>
        <v>0</v>
      </c>
    </row>
    <row r="42" spans="45:47" ht="15" thickBot="1" x14ac:dyDescent="0.35">
      <c r="AS42" s="67"/>
      <c r="AT42" s="30">
        <f>'KARDEX MED E INS. MED'!BD48</f>
        <v>0</v>
      </c>
      <c r="AU42" s="62">
        <f ca="1">'KARDEX MED E INS. MED'!BE48</f>
        <v>0</v>
      </c>
    </row>
    <row r="43" spans="45:47" ht="15" thickBot="1" x14ac:dyDescent="0.35">
      <c r="AS43" s="67"/>
      <c r="AT43" s="30">
        <f>'KARDEX MED E INS. MED'!BD49</f>
        <v>0</v>
      </c>
      <c r="AU43" s="62">
        <f ca="1">'KARDEX MED E INS. MED'!BE49</f>
        <v>0</v>
      </c>
    </row>
    <row r="44" spans="45:47" ht="15" thickBot="1" x14ac:dyDescent="0.35">
      <c r="AS44" s="54"/>
      <c r="AT44" s="30">
        <f>'KARDEX MED E INS. MED'!BD50</f>
        <v>0</v>
      </c>
      <c r="AU44" s="62">
        <f ca="1">'KARDEX MED E INS. MED'!BE50</f>
        <v>0</v>
      </c>
    </row>
    <row r="45" spans="45:47" ht="15" thickBot="1" x14ac:dyDescent="0.35">
      <c r="AS45" s="61" t="s">
        <v>178</v>
      </c>
      <c r="AT45" s="30" t="e">
        <f ca="1">SUM(AT5:AT44)</f>
        <v>#VALUE!</v>
      </c>
      <c r="AU45" s="63" t="e">
        <f ca="1">SUM(AU5:AU44)</f>
        <v>#VALUE!</v>
      </c>
    </row>
  </sheetData>
  <protectedRanges>
    <protectedRange sqref="AT2:AU4" name="Rango1_1"/>
  </protectedRanges>
  <mergeCells count="2">
    <mergeCell ref="AS2:AS4"/>
    <mergeCell ref="AT2:AU4"/>
  </mergeCells>
  <conditionalFormatting sqref="AU5:AU44">
    <cfRule type="colorScale" priority="1">
      <colorScale>
        <cfvo type="min"/>
        <cfvo type="percentile" val="50"/>
        <cfvo type="max"/>
        <color theme="3" tint="0.79998168889431442"/>
        <color theme="3" tint="0.39997558519241921"/>
        <color theme="4" tint="-0.249977111117893"/>
      </colorScale>
    </cfRule>
  </conditionalFormatting>
  <dataValidations count="1">
    <dataValidation type="decimal" allowBlank="1" showInputMessage="1" showErrorMessage="1" sqref="AT5:AU44" xr:uid="{EB1D12E2-A86B-44B3-B816-88B59D918F2D}">
      <formula1>0</formula1>
      <formula2>10</formula2>
    </dataValidation>
  </dataValidations>
  <pageMargins left="0.7" right="0.7" top="0.75" bottom="0.75" header="0.3" footer="0.3"/>
  <drawing r:id="rId7"/>
  <tableParts count="5">
    <tablePart r:id="rId8"/>
    <tablePart r:id="rId9"/>
    <tablePart r:id="rId10"/>
    <tablePart r:id="rId11"/>
    <tablePart r:id="rId1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1763-742A-44ED-AADE-106ACA5017CB}">
  <sheetPr>
    <tabColor rgb="FFFF0000"/>
  </sheetPr>
  <dimension ref="B9:O40"/>
  <sheetViews>
    <sheetView topLeftCell="A23" workbookViewId="0">
      <selection activeCell="L43" sqref="L43"/>
    </sheetView>
  </sheetViews>
  <sheetFormatPr baseColWidth="10" defaultColWidth="11.44140625" defaultRowHeight="14.4" x14ac:dyDescent="0.3"/>
  <sheetData>
    <row r="9" spans="8:15" x14ac:dyDescent="0.3">
      <c r="H9" s="27" t="s">
        <v>244</v>
      </c>
      <c r="K9" s="27" t="s">
        <v>253</v>
      </c>
      <c r="M9" s="27" t="s">
        <v>254</v>
      </c>
      <c r="O9" s="27" t="s">
        <v>255</v>
      </c>
    </row>
    <row r="31" spans="10:12" x14ac:dyDescent="0.3">
      <c r="J31" s="159" t="s">
        <v>256</v>
      </c>
      <c r="K31" s="159"/>
      <c r="L31" s="159"/>
    </row>
    <row r="34" spans="2:11" x14ac:dyDescent="0.3">
      <c r="B34" s="159" t="s">
        <v>257</v>
      </c>
      <c r="C34" s="159"/>
    </row>
    <row r="40" spans="2:11" x14ac:dyDescent="0.3">
      <c r="J40" s="159" t="s">
        <v>258</v>
      </c>
      <c r="K40" s="159"/>
    </row>
  </sheetData>
  <mergeCells count="3">
    <mergeCell ref="B34:C34"/>
    <mergeCell ref="J31:L31"/>
    <mergeCell ref="J40:K40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405083BE957429A7F633B3A5A3B9F" ma:contentTypeVersion="14" ma:contentTypeDescription="Crear nuevo documento." ma:contentTypeScope="" ma:versionID="33c281e7d8fd830578b86485370cfde1">
  <xsd:schema xmlns:xsd="http://www.w3.org/2001/XMLSchema" xmlns:xs="http://www.w3.org/2001/XMLSchema" xmlns:p="http://schemas.microsoft.com/office/2006/metadata/properties" xmlns:ns2="230cfb32-e209-4df8-93ad-9510e324b8ba" xmlns:ns3="a5f9cac7-ee12-480f-9227-4a9191cc2a5a" targetNamespace="http://schemas.microsoft.com/office/2006/metadata/properties" ma:root="true" ma:fieldsID="056738d81c348d2b8f8bb4b98ef7cb89" ns2:_="" ns3:_="">
    <xsd:import namespace="230cfb32-e209-4df8-93ad-9510e324b8ba"/>
    <xsd:import namespace="a5f9cac7-ee12-480f-9227-4a9191cc2a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cfb32-e209-4df8-93ad-9510e324b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9cac7-ee12-480f-9227-4a9191cc2a5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b6fa6e-c9d0-43e2-83fa-01b2676ab51e}" ma:internalName="TaxCatchAll" ma:showField="CatchAllData" ma:web="a5f9cac7-ee12-480f-9227-4a9191cc2a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cfb32-e209-4df8-93ad-9510e324b8ba">
      <Terms xmlns="http://schemas.microsoft.com/office/infopath/2007/PartnerControls"/>
    </lcf76f155ced4ddcb4097134ff3c332f>
    <TaxCatchAll xmlns="a5f9cac7-ee12-480f-9227-4a9191cc2a5a" xsi:nil="true"/>
  </documentManagement>
</p:properties>
</file>

<file path=customXml/itemProps1.xml><?xml version="1.0" encoding="utf-8"?>
<ds:datastoreItem xmlns:ds="http://schemas.openxmlformats.org/officeDocument/2006/customXml" ds:itemID="{C8CBB208-549C-400E-89E0-EF44375BB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cfb32-e209-4df8-93ad-9510e324b8ba"/>
    <ds:schemaRef ds:uri="a5f9cac7-ee12-480f-9227-4a9191cc2a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9C9C9B-F1BF-472F-BE5C-CD0400FDC9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30102F-AD8D-45D2-8ED3-76AF4214C6A3}">
  <ds:schemaRefs>
    <ds:schemaRef ds:uri="http://schemas.microsoft.com/office/2006/metadata/properties"/>
    <ds:schemaRef ds:uri="http://schemas.microsoft.com/office/infopath/2007/PartnerControls"/>
    <ds:schemaRef ds:uri="230cfb32-e209-4df8-93ad-9510e324b8ba"/>
    <ds:schemaRef ds:uri="a5f9cac7-ee12-480f-9227-4a9191cc2a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DASHBOARD</vt:lpstr>
      <vt:lpstr>AT. MEDICAS 2024</vt:lpstr>
      <vt:lpstr>CONCENTRADO MORBILIDAD</vt:lpstr>
      <vt:lpstr>KARDEX MED E INS. MED</vt:lpstr>
      <vt:lpstr>BASE</vt:lpstr>
      <vt:lpstr>TAB DINAMICA</vt:lpstr>
      <vt:lpstr>GRAFICOS</vt:lpstr>
      <vt:lpstr>'CONCENTRADO MORBILIDAD'!Área_de_impresión</vt:lpstr>
      <vt:lpstr>DASHBOARD!Área_de_impresión</vt:lpstr>
      <vt:lpstr>'KARDEX MED E INS. MED'!Área_de_impresión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José Carcelén</dc:creator>
  <cp:keywords/>
  <dc:description/>
  <cp:lastModifiedBy>María José Carcelén</cp:lastModifiedBy>
  <cp:revision/>
  <cp:lastPrinted>2024-09-30T17:40:29Z</cp:lastPrinted>
  <dcterms:created xsi:type="dcterms:W3CDTF">2023-10-18T13:54:53Z</dcterms:created>
  <dcterms:modified xsi:type="dcterms:W3CDTF">2024-12-11T16:31:08Z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0x010100ABC405083BE957429A7F633B3A5A3B9F</vt:lpwstr>
  </property>
  <property fmtid="{D5CDD505-2E9C-101B-9397-08002B2CF9AE}" pid="3" name="MediaServiceImageTags">
    <vt:lpwstr/>
  </property>
</Properties>
</file>